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26.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comments14.xml" ContentType="application/vnd.openxmlformats-officedocument.spreadsheetml.comments+xml"/>
  <Override PartName="/xl/sharedStrings.xml" ContentType="application/vnd.openxmlformats-officedocument.spreadsheetml.sharedStrings+xml"/>
  <Override PartName="/xl/comments12.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Override PartName="/xl/drawings/drawing5.xml" ContentType="application/vnd.openxmlformats-officedocument.drawing+xml"/>
  <Default Extension="emf" ContentType="image/x-emf"/>
  <Override PartName="/xl/comments7.xml" ContentType="application/vnd.openxmlformats-officedocument.spreadsheetml.comments+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howObjects="placeholders" codeName="ThisWorkbook" autoCompressPictures="0" defaultThemeVersion="124226"/>
  <bookViews>
    <workbookView xWindow="0" yWindow="0" windowWidth="15345" windowHeight="4635" tabRatio="693"/>
  </bookViews>
  <sheets>
    <sheet name="Опис" sheetId="39" r:id="rId1"/>
    <sheet name="About" sheetId="1" r:id="rId2"/>
    <sheet name="Каталог" sheetId="40" r:id="rId3"/>
    <sheet name="Directory " sheetId="52" r:id="rId4"/>
    <sheet name="ЗЗК (УкрВер)" sheetId="41" r:id="rId5"/>
    <sheet name="LUC (EnVer)" sheetId="4" r:id="rId6"/>
    <sheet name="Esca (УкрВер)" sheetId="42" r:id="rId7"/>
    <sheet name="Esca (EnVer)" sheetId="5" r:id="rId8"/>
    <sheet name="Викиди N2O згідно МГЕЗК" sheetId="43" r:id="rId9"/>
    <sheet name="N2O emissions IPCC " sheetId="6" r:id="rId10"/>
    <sheet name="Викиди N2O Приклад 1" sheetId="44" r:id="rId11"/>
    <sheet name="N2O emissions Example 1" sheetId="36" r:id="rId12"/>
    <sheet name="Розрахунок ефективності" sheetId="53" r:id="rId13"/>
    <sheet name="Calculate Efficiencies" sheetId="54" r:id="rId14"/>
    <sheet name="Е-ЦБ" sheetId="7" r:id="rId15"/>
    <sheet name="E-Sb" sheetId="48" r:id="rId16"/>
    <sheet name="Приклад 1" sheetId="45" r:id="rId17"/>
    <sheet name="Example 1" sheetId="35" r:id="rId18"/>
    <sheet name="Е-ПШ" sheetId="8" r:id="rId19"/>
    <sheet name="E-Wt (not.spec.)" sheetId="49" r:id="rId20"/>
    <sheet name="Е-КР" sheetId="13" r:id="rId21"/>
    <sheet name="E-Co" sheetId="50" r:id="rId22"/>
    <sheet name="F-Рк" sheetId="15" r:id="rId23"/>
    <sheet name="F-Rs" sheetId="51" r:id="rId24"/>
    <sheet name="Стандартні значення користувача" sheetId="55" r:id="rId25"/>
    <sheet name="User defined standard values" sheetId="29" r:id="rId26"/>
    <sheet name="Standard values" sheetId="30" r:id="rId27"/>
  </sheets>
  <externalReferences>
    <externalReference r:id="rId28"/>
    <externalReference r:id="rId29"/>
    <externalReference r:id="rId30"/>
    <externalReference r:id="rId31"/>
    <externalReference r:id="rId32"/>
    <externalReference r:id="rId33"/>
  </externalReferences>
  <definedNames>
    <definedName name="_xlnm._FilterDatabase" localSheetId="26" hidden="1">'Standard values'!$C$8:$C$159</definedName>
    <definedName name="_xlnm._FilterDatabase" localSheetId="25" hidden="1">'User defined standard values'!$C$7:$C$48</definedName>
    <definedName name="_xlnm._FilterDatabase" localSheetId="24" hidden="1">'Стандартні значення користувача'!$C$7:$C$48</definedName>
    <definedName name="agro_inputs" localSheetId="3">#REF!</definedName>
    <definedName name="agro_inputs" localSheetId="25">'User defined standard values'!#REF!</definedName>
    <definedName name="agro_inputs" localSheetId="24">'Стандартні значення користувача'!#REF!</definedName>
    <definedName name="agro_inputs">'Standard values'!$C$15:$C$26</definedName>
    <definedName name="chemicals" localSheetId="3">#REF!</definedName>
    <definedName name="chemicals" localSheetId="25">'User defined standard values'!#REF!</definedName>
    <definedName name="chemicals" localSheetId="24">'Стандартні значення користувача'!#REF!</definedName>
    <definedName name="chemicals">'Standard values'!$C$80:$C$88</definedName>
    <definedName name="ChoiceListFeedstocks" localSheetId="21">[1]Chains!$H$11:$H$12</definedName>
    <definedName name="ChoiceListFeedstocks" localSheetId="15">[1]Chains!$H$11:$H$12</definedName>
    <definedName name="ChoiceListFeedstocks" localSheetId="19">[1]Chains!$H$11:$H$12</definedName>
    <definedName name="ChoiceListFeedstocks" localSheetId="17">[2]Chains!$H$11:$H$12</definedName>
    <definedName name="ChoiceListFeedstocks" localSheetId="23">[1]Chains!$H$11:$H$12</definedName>
    <definedName name="ChoiceListFeedstocks">[1]Chains!$H$11:$H$12</definedName>
    <definedName name="EF_agro_inputs" localSheetId="3">#REF!</definedName>
    <definedName name="EF_agro_inputs" localSheetId="25">'User defined standard values'!#REF!</definedName>
    <definedName name="EF_agro_inputs" localSheetId="24">'Стандартні значення користувача'!#REF!</definedName>
    <definedName name="EF_agro_inputs">'Standard values'!$M$15:$M$26</definedName>
    <definedName name="EF_chemicals_kg" localSheetId="3">#REF!</definedName>
    <definedName name="EF_chemicals_kg" localSheetId="25">'User defined standard values'!#REF!</definedName>
    <definedName name="EF_chemicals_kg" localSheetId="24">'Стандартні значення користувача'!#REF!</definedName>
    <definedName name="EF_chemicals_kg">'Standard values'!$M$81:$M$88</definedName>
    <definedName name="EF_chemicals_MJ" localSheetId="3">#REF!</definedName>
    <definedName name="EF_chemicals_MJ" localSheetId="25">'User defined standard values'!#REF!</definedName>
    <definedName name="EF_chemicals_MJ" localSheetId="24">'Стандартні значення користувача'!#REF!</definedName>
    <definedName name="EF_chemicals_MJ">'Standard values'!$N$81:$N$88</definedName>
    <definedName name="EF_electricity" localSheetId="3">#REF!</definedName>
    <definedName name="EF_electricity" localSheetId="25">'User defined standard values'!#REF!</definedName>
    <definedName name="EF_electricity" localSheetId="24">'Стандартні значення користувача'!#REF!</definedName>
    <definedName name="EF_electricity">'Standard values'!$N$76:$N$78</definedName>
    <definedName name="EF_fuels_MJ" localSheetId="3">#REF!</definedName>
    <definedName name="EF_fuels_MJ" localSheetId="25">'User defined standard values'!#REF!</definedName>
    <definedName name="EF_fuels_MJ" localSheetId="24">'Стандартні значення користувача'!#REF!</definedName>
    <definedName name="EF_fuels_MJ">'Standard values'!$N$35:$N$50</definedName>
    <definedName name="electricity" localSheetId="3">#REF!</definedName>
    <definedName name="electricity" localSheetId="25">'User defined standard values'!#REF!</definedName>
    <definedName name="electricity" localSheetId="24">'Стандартні значення користувача'!#REF!</definedName>
    <definedName name="electricity">'Standard values'!$C$76:$C$78</definedName>
    <definedName name="FE_transport" localSheetId="3">#REF!</definedName>
    <definedName name="FE_transport" localSheetId="25">'User defined standard values'!#REF!</definedName>
    <definedName name="FE_transport" localSheetId="24">'Стандартні значення користувача'!#REF!</definedName>
    <definedName name="FE_transport">'Standard values'!$Q$96:$Q$105</definedName>
    <definedName name="fuels" localSheetId="3">#REF!</definedName>
    <definedName name="fuels" localSheetId="25">'User defined standard values'!#REF!</definedName>
    <definedName name="fuels" localSheetId="24">'Стандартні значення користувача'!#REF!</definedName>
    <definedName name="fuels">'Standard values'!$C$35:$C$50</definedName>
    <definedName name="LHV_fuels" localSheetId="3">#REF!</definedName>
    <definedName name="LHV_fuels" localSheetId="25">'User defined standard values'!#REF!</definedName>
    <definedName name="LHV_fuels" localSheetId="24">'Стандартні значення користувача'!#REF!</definedName>
    <definedName name="LHV_fuels">'Standard values'!$P$35:$P$47</definedName>
    <definedName name="LHV_solids" localSheetId="3">#REF!</definedName>
    <definedName name="LHV_solids" localSheetId="25">'User defined standard values'!#REF!</definedName>
    <definedName name="LHV_solids" localSheetId="24">'Стандартні значення користувача'!#REF!</definedName>
    <definedName name="LHV_solids">'Standard values'!$P$51:$P$74</definedName>
    <definedName name="Option_A_0_B_1" localSheetId="21">[3]About!$B$79</definedName>
    <definedName name="Option_A_0_B_1" localSheetId="15">[3]About!$B$79</definedName>
    <definedName name="Option_A_0_B_1" localSheetId="6">#REF!</definedName>
    <definedName name="Option_A_0_B_1" localSheetId="19">[3]About!$B$79</definedName>
    <definedName name="Option_A_0_B_1" localSheetId="17">[4]About!$B$79</definedName>
    <definedName name="Option_A_0_B_1" localSheetId="23">[3]About!$B$79</definedName>
    <definedName name="Option_A_0_B_1" localSheetId="8">#REF!</definedName>
    <definedName name="Option_A_0_B_1" localSheetId="10">#REF!</definedName>
    <definedName name="Option_A_0_B_1" localSheetId="4">#REF!</definedName>
    <definedName name="Option_A_0_B_1" localSheetId="2">#REF!</definedName>
    <definedName name="Option_A_0_B_1" localSheetId="0">#REF!</definedName>
    <definedName name="Option_A_0_B_1" localSheetId="16">#REF!</definedName>
    <definedName name="Option_A_0_B_1">About!$B$79</definedName>
    <definedName name="solids" localSheetId="3">#REF!</definedName>
    <definedName name="solids" localSheetId="25">'User defined standard values'!#REF!</definedName>
    <definedName name="solids" localSheetId="24">'Стандартні значення користувача'!#REF!</definedName>
    <definedName name="solids">'Standard values'!$C$51:$C$74</definedName>
    <definedName name="Transport" localSheetId="3">#REF!</definedName>
    <definedName name="Transport" localSheetId="25">'User defined standard values'!#REF!</definedName>
    <definedName name="Transport" localSheetId="24">'Стандартні значення користувача'!#REF!</definedName>
    <definedName name="Transport">'Standard values'!$C$96:$C$105</definedName>
    <definedName name="Z_7EB5D807_CE20_46E2_AEE6_2C193E010EA4_.wvu.FilterData" localSheetId="26" hidden="1">'Standard values'!$C$8:$C$159</definedName>
    <definedName name="Z_7EB5D807_CE20_46E2_AEE6_2C193E010EA4_.wvu.FilterData" localSheetId="25" hidden="1">'User defined standard values'!$C$7:$C$48</definedName>
    <definedName name="Z_7EB5D807_CE20_46E2_AEE6_2C193E010EA4_.wvu.FilterData" localSheetId="24" hidden="1">'Стандартні значення користувача'!$C$7:$C$48</definedName>
    <definedName name="Z_7EB5D807_CE20_46E2_AEE6_2C193E010EA4_.wvu.PrintArea" localSheetId="1" hidden="1">About!$A$1:$D$98</definedName>
    <definedName name="Z_7EB5D807_CE20_46E2_AEE6_2C193E010EA4_.wvu.PrintArea" localSheetId="3" hidden="1">'Directory '!$A$1:$I$26</definedName>
    <definedName name="Z_7EB5D807_CE20_46E2_AEE6_2C193E010EA4_.wvu.PrintArea" localSheetId="21" hidden="1">'E-Co'!$A$1:$O$155</definedName>
    <definedName name="Z_7EB5D807_CE20_46E2_AEE6_2C193E010EA4_.wvu.PrintArea" localSheetId="15" hidden="1">'E-Sb'!$A$1:$O$152</definedName>
    <definedName name="Z_7EB5D807_CE20_46E2_AEE6_2C193E010EA4_.wvu.PrintArea" localSheetId="19" hidden="1">'E-Wt (not.spec.)'!$A$1:$O$164</definedName>
    <definedName name="Z_7EB5D807_CE20_46E2_AEE6_2C193E010EA4_.wvu.PrintArea" localSheetId="23" hidden="1">'F-Rs'!$A$1:$O$226</definedName>
    <definedName name="Z_7EB5D807_CE20_46E2_AEE6_2C193E010EA4_.wvu.PrintArea" localSheetId="22" hidden="1">'F-Рк'!$A$1:$O$226</definedName>
    <definedName name="Z_7EB5D807_CE20_46E2_AEE6_2C193E010EA4_.wvu.PrintArea" localSheetId="26" hidden="1">'Standard values'!$A$1:$U$159</definedName>
    <definedName name="Z_7EB5D807_CE20_46E2_AEE6_2C193E010EA4_.wvu.PrintArea" localSheetId="25" hidden="1">'User defined standard values'!$A$1:$U$48</definedName>
    <definedName name="Z_7EB5D807_CE20_46E2_AEE6_2C193E010EA4_.wvu.PrintArea" localSheetId="20" hidden="1">'Е-КР'!$A$1:$O$155</definedName>
    <definedName name="Z_7EB5D807_CE20_46E2_AEE6_2C193E010EA4_.wvu.PrintArea" localSheetId="18" hidden="1">'Е-ПШ'!$A$1:$O$164</definedName>
    <definedName name="Z_7EB5D807_CE20_46E2_AEE6_2C193E010EA4_.wvu.PrintArea" localSheetId="14" hidden="1">'Е-ЦБ'!$A$1:$O$152</definedName>
    <definedName name="Z_7EB5D807_CE20_46E2_AEE6_2C193E010EA4_.wvu.PrintArea" localSheetId="24" hidden="1">'Стандартні значення користувача'!$A$1:$U$48</definedName>
    <definedName name="Z_AD88818B_9F97_4B1E_9426_0DECE603685E_.wvu.FilterData" localSheetId="26" hidden="1">'Standard values'!$C$8:$C$159</definedName>
    <definedName name="Z_AD88818B_9F97_4B1E_9426_0DECE603685E_.wvu.FilterData" localSheetId="25" hidden="1">'User defined standard values'!$C$7:$C$48</definedName>
    <definedName name="Z_AD88818B_9F97_4B1E_9426_0DECE603685E_.wvu.FilterData" localSheetId="24" hidden="1">'Стандартні значення користувача'!$C$7:$C$48</definedName>
    <definedName name="Z_AD88818B_9F97_4B1E_9426_0DECE603685E_.wvu.PrintArea" localSheetId="1" hidden="1">About!$A$1:$D$98</definedName>
    <definedName name="Z_AD88818B_9F97_4B1E_9426_0DECE603685E_.wvu.PrintArea" localSheetId="3" hidden="1">'Directory '!$A$1:$I$26</definedName>
    <definedName name="Z_AD88818B_9F97_4B1E_9426_0DECE603685E_.wvu.PrintArea" localSheetId="21" hidden="1">'E-Co'!$A$1:$O$155</definedName>
    <definedName name="Z_AD88818B_9F97_4B1E_9426_0DECE603685E_.wvu.PrintArea" localSheetId="15" hidden="1">'E-Sb'!$A$1:$O$152</definedName>
    <definedName name="Z_AD88818B_9F97_4B1E_9426_0DECE603685E_.wvu.PrintArea" localSheetId="19" hidden="1">'E-Wt (not.spec.)'!$A$1:$O$164</definedName>
    <definedName name="Z_AD88818B_9F97_4B1E_9426_0DECE603685E_.wvu.PrintArea" localSheetId="23" hidden="1">'F-Rs'!$A$1:$O$226</definedName>
    <definedName name="Z_AD88818B_9F97_4B1E_9426_0DECE603685E_.wvu.PrintArea" localSheetId="22" hidden="1">'F-Рк'!$A$1:$O$226</definedName>
    <definedName name="Z_AD88818B_9F97_4B1E_9426_0DECE603685E_.wvu.PrintArea" localSheetId="26" hidden="1">'Standard values'!$A$1:$U$159</definedName>
    <definedName name="Z_AD88818B_9F97_4B1E_9426_0DECE603685E_.wvu.PrintArea" localSheetId="25" hidden="1">'User defined standard values'!$A$1:$U$48</definedName>
    <definedName name="Z_AD88818B_9F97_4B1E_9426_0DECE603685E_.wvu.PrintArea" localSheetId="20" hidden="1">'Е-КР'!$A$1:$O$155</definedName>
    <definedName name="Z_AD88818B_9F97_4B1E_9426_0DECE603685E_.wvu.PrintArea" localSheetId="18" hidden="1">'Е-ПШ'!$A$1:$O$164</definedName>
    <definedName name="Z_AD88818B_9F97_4B1E_9426_0DECE603685E_.wvu.PrintArea" localSheetId="14" hidden="1">'Е-ЦБ'!$A$1:$O$152</definedName>
    <definedName name="Z_AD88818B_9F97_4B1E_9426_0DECE603685E_.wvu.PrintArea" localSheetId="24" hidden="1">'Стандартні значення користувача'!$A$1:$U$48</definedName>
    <definedName name="_xlnm.Print_Area" localSheetId="1">About!$A$1:$D$98</definedName>
    <definedName name="_xlnm.Print_Area" localSheetId="3">'Directory '!$A$1:$I$26</definedName>
    <definedName name="_xlnm.Print_Area" localSheetId="21">'E-Co'!$A$1:$O$155</definedName>
    <definedName name="_xlnm.Print_Area" localSheetId="15">'E-Sb'!$A$1:$O$152</definedName>
    <definedName name="_xlnm.Print_Area" localSheetId="19">'E-Wt (not.spec.)'!$A$1:$O$164</definedName>
    <definedName name="_xlnm.Print_Area" localSheetId="17">'Example 1'!$A$1:$N$152</definedName>
    <definedName name="_xlnm.Print_Area" localSheetId="23">'F-Rs'!$A$1:$O$226</definedName>
    <definedName name="_xlnm.Print_Area" localSheetId="22">'F-Рк'!$A$1:$O$226</definedName>
    <definedName name="_xlnm.Print_Area" localSheetId="26">'Standard values'!$A$1:$U$159</definedName>
    <definedName name="_xlnm.Print_Area" localSheetId="25">'User defined standard values'!$A$1:$U$48</definedName>
    <definedName name="_xlnm.Print_Area" localSheetId="20">'Е-КР'!$A$1:$O$155</definedName>
    <definedName name="_xlnm.Print_Area" localSheetId="18">'Е-ПШ'!$A$1:$O$164</definedName>
    <definedName name="_xlnm.Print_Area" localSheetId="14">'Е-ЦБ'!$A$1:$O$152</definedName>
    <definedName name="_xlnm.Print_Area" localSheetId="24">'Стандартні значення користувача'!$A$1:$U$48</definedName>
  </definedNames>
  <calcPr calcId="125725"/>
  <customWorkbookViews>
    <customWorkbookView name="Yolanda Lechón - Vista personalizada" guid="{AD88818B-9F97-4B1E-9426-0DECE603685E}" mergeInterval="0" personalView="1" maximized="1" windowWidth="1020" windowHeight="552" tabRatio="693" activeSheetId="6" showObjects="placeholders"/>
    <customWorkbookView name="neeft - Persoonlijke weergave" guid="{7EB5D807-CE20-46E2-AEE6-2C193E010EA4}" mergeInterval="0" personalView="1" maximized="1" windowWidth="1276" windowHeight="836" tabRatio="693" activeSheetId="6" showObjects="placeholders"/>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D62" i="43"/>
  <c r="B34"/>
  <c r="D34"/>
  <c r="H34"/>
  <c r="E34" i="54"/>
  <c r="C34"/>
  <c r="E33"/>
  <c r="C33"/>
  <c r="E32"/>
  <c r="C32"/>
  <c r="E31"/>
  <c r="C31"/>
  <c r="H21"/>
  <c r="P20"/>
  <c r="H20"/>
  <c r="P19"/>
  <c r="H19"/>
  <c r="P18"/>
  <c r="H18"/>
  <c r="P17"/>
  <c r="H17"/>
  <c r="H16"/>
  <c r="H15"/>
  <c r="H14"/>
  <c r="P13"/>
  <c r="H13"/>
  <c r="H12"/>
  <c r="H24" s="1"/>
  <c r="D30" s="1"/>
  <c r="D36" s="1"/>
  <c r="Q7"/>
  <c r="C38" i="53"/>
  <c r="C37"/>
  <c r="C36"/>
  <c r="C35"/>
  <c r="E38"/>
  <c r="E37"/>
  <c r="E36"/>
  <c r="E35"/>
  <c r="H25"/>
  <c r="P24"/>
  <c r="H24"/>
  <c r="P23"/>
  <c r="H23"/>
  <c r="P22"/>
  <c r="H22"/>
  <c r="P21"/>
  <c r="H21"/>
  <c r="H20"/>
  <c r="H19"/>
  <c r="H18"/>
  <c r="P17"/>
  <c r="H17"/>
  <c r="H16"/>
  <c r="H28" s="1"/>
  <c r="Q11"/>
  <c r="A15" i="15"/>
  <c r="E78" i="8"/>
  <c r="D23" i="43"/>
  <c r="E56" i="41"/>
  <c r="E21" i="50"/>
  <c r="D31" i="54" l="1"/>
  <c r="D35" s="1"/>
  <c r="D32"/>
  <c r="D33"/>
  <c r="D34"/>
  <c r="P23"/>
  <c r="D34" i="53"/>
  <c r="D40" s="1"/>
  <c r="D35"/>
  <c r="D39" s="1"/>
  <c r="D36"/>
  <c r="D37"/>
  <c r="D38"/>
  <c r="P27"/>
  <c r="A34" i="1"/>
  <c r="L143" i="50"/>
  <c r="L142"/>
  <c r="L137"/>
  <c r="L136"/>
  <c r="C128"/>
  <c r="C126"/>
  <c r="C125"/>
  <c r="F124"/>
  <c r="E124"/>
  <c r="C124"/>
  <c r="F122"/>
  <c r="E122"/>
  <c r="D115"/>
  <c r="B115"/>
  <c r="I114"/>
  <c r="L114"/>
  <c r="C112"/>
  <c r="C110"/>
  <c r="C109"/>
  <c r="F108"/>
  <c r="E108"/>
  <c r="C108"/>
  <c r="F106"/>
  <c r="E106"/>
  <c r="E46"/>
  <c r="E57" s="1"/>
  <c r="E86" s="1"/>
  <c r="C88"/>
  <c r="F79"/>
  <c r="F78"/>
  <c r="F80" s="1"/>
  <c r="C61"/>
  <c r="C67"/>
  <c r="C60"/>
  <c r="C68" s="1"/>
  <c r="C65"/>
  <c r="E148"/>
  <c r="H13"/>
  <c r="A13"/>
  <c r="H12"/>
  <c r="A12"/>
  <c r="H11"/>
  <c r="A11"/>
  <c r="H9"/>
  <c r="A9"/>
  <c r="H7"/>
  <c r="A7"/>
  <c r="J5"/>
  <c r="O2"/>
  <c r="J6"/>
  <c r="J7" s="1"/>
  <c r="E45"/>
  <c r="E56" s="1"/>
  <c r="E85" s="1"/>
  <c r="E97" s="1"/>
  <c r="K32"/>
  <c r="C9"/>
  <c r="C14"/>
  <c r="C11"/>
  <c r="C7"/>
  <c r="L140" i="48"/>
  <c r="L139"/>
  <c r="L134"/>
  <c r="L133"/>
  <c r="C125"/>
  <c r="C123"/>
  <c r="C122"/>
  <c r="F121"/>
  <c r="E121"/>
  <c r="C121"/>
  <c r="F119"/>
  <c r="E119"/>
  <c r="D112"/>
  <c r="B112"/>
  <c r="I111"/>
  <c r="L111"/>
  <c r="C109"/>
  <c r="C107"/>
  <c r="C106"/>
  <c r="F105"/>
  <c r="E105"/>
  <c r="C105"/>
  <c r="F103"/>
  <c r="E103"/>
  <c r="E45"/>
  <c r="C85"/>
  <c r="F75"/>
  <c r="F76"/>
  <c r="C60"/>
  <c r="C66"/>
  <c r="C63"/>
  <c r="C59"/>
  <c r="E21"/>
  <c r="E145" s="1"/>
  <c r="I30" s="1"/>
  <c r="H13"/>
  <c r="A13"/>
  <c r="H12"/>
  <c r="A12"/>
  <c r="H11"/>
  <c r="A11"/>
  <c r="H9"/>
  <c r="A9"/>
  <c r="A7"/>
  <c r="J5"/>
  <c r="O2"/>
  <c r="K32"/>
  <c r="J29"/>
  <c r="L152" i="49"/>
  <c r="L151"/>
  <c r="L146"/>
  <c r="L145"/>
  <c r="C137"/>
  <c r="C135"/>
  <c r="C134"/>
  <c r="F133"/>
  <c r="E133"/>
  <c r="C133"/>
  <c r="F131"/>
  <c r="E131"/>
  <c r="D124"/>
  <c r="B124"/>
  <c r="I123"/>
  <c r="L123"/>
  <c r="C121"/>
  <c r="C119"/>
  <c r="C118"/>
  <c r="F117"/>
  <c r="E117"/>
  <c r="C117"/>
  <c r="F115"/>
  <c r="E115"/>
  <c r="E46"/>
  <c r="E55"/>
  <c r="E66" s="1"/>
  <c r="C97"/>
  <c r="F88"/>
  <c r="F87"/>
  <c r="C70"/>
  <c r="C76"/>
  <c r="C69"/>
  <c r="C74"/>
  <c r="E22"/>
  <c r="E45" s="1"/>
  <c r="H14"/>
  <c r="A14"/>
  <c r="H13"/>
  <c r="A13"/>
  <c r="A12"/>
  <c r="H11"/>
  <c r="A11"/>
  <c r="H9"/>
  <c r="A9"/>
  <c r="H7"/>
  <c r="A7"/>
  <c r="J5"/>
  <c r="O2"/>
  <c r="E157"/>
  <c r="E54"/>
  <c r="E65" s="1"/>
  <c r="F89"/>
  <c r="J6" s="1"/>
  <c r="C9" s="1"/>
  <c r="C11"/>
  <c r="C12"/>
  <c r="E158"/>
  <c r="K48" s="1"/>
  <c r="K36"/>
  <c r="K33"/>
  <c r="K39" s="1"/>
  <c r="I33"/>
  <c r="J33"/>
  <c r="J32"/>
  <c r="J31"/>
  <c r="K30"/>
  <c r="K27"/>
  <c r="L27" s="1"/>
  <c r="I27"/>
  <c r="K38"/>
  <c r="L38" s="1"/>
  <c r="K32"/>
  <c r="I32"/>
  <c r="L32" s="1"/>
  <c r="K31"/>
  <c r="J30"/>
  <c r="J27"/>
  <c r="K74"/>
  <c r="I48"/>
  <c r="E57"/>
  <c r="I57" s="1"/>
  <c r="I121"/>
  <c r="L121"/>
  <c r="L124" s="1"/>
  <c r="L126" s="1"/>
  <c r="B15" s="1"/>
  <c r="I137"/>
  <c r="L137" s="1"/>
  <c r="L138" s="1"/>
  <c r="L140" s="1"/>
  <c r="B16" s="1"/>
  <c r="E77" i="5"/>
  <c r="E73"/>
  <c r="H45"/>
  <c r="H46"/>
  <c r="I51" s="1"/>
  <c r="E52" s="1"/>
  <c r="J77" s="1"/>
  <c r="E51"/>
  <c r="H41"/>
  <c r="H40"/>
  <c r="L2"/>
  <c r="E52" i="42"/>
  <c r="J77" s="1"/>
  <c r="D77"/>
  <c r="E73"/>
  <c r="H45"/>
  <c r="H46"/>
  <c r="I51"/>
  <c r="E51"/>
  <c r="H41"/>
  <c r="H40"/>
  <c r="F38" i="35"/>
  <c r="N21"/>
  <c r="K19"/>
  <c r="L18"/>
  <c r="L19"/>
  <c r="M19"/>
  <c r="F16"/>
  <c r="L214" i="51"/>
  <c r="L213"/>
  <c r="L208"/>
  <c r="L207"/>
  <c r="C199"/>
  <c r="C197"/>
  <c r="C196"/>
  <c r="F195"/>
  <c r="E195"/>
  <c r="C195"/>
  <c r="F193"/>
  <c r="E193"/>
  <c r="D186"/>
  <c r="B186"/>
  <c r="I185"/>
  <c r="L185" s="1"/>
  <c r="C183"/>
  <c r="C181"/>
  <c r="C180"/>
  <c r="F179"/>
  <c r="E179"/>
  <c r="C179"/>
  <c r="F177"/>
  <c r="E177"/>
  <c r="E49"/>
  <c r="E60"/>
  <c r="E71" s="1"/>
  <c r="K84" s="1"/>
  <c r="C159"/>
  <c r="F150"/>
  <c r="F149"/>
  <c r="F151" s="1"/>
  <c r="C140"/>
  <c r="C139"/>
  <c r="C138"/>
  <c r="C137"/>
  <c r="C136"/>
  <c r="C127"/>
  <c r="C131" s="1"/>
  <c r="C130"/>
  <c r="C126"/>
  <c r="C114"/>
  <c r="C105"/>
  <c r="C111"/>
  <c r="C108"/>
  <c r="C109" s="1"/>
  <c r="C104"/>
  <c r="F94"/>
  <c r="F95"/>
  <c r="J6" s="1"/>
  <c r="C75"/>
  <c r="C81" s="1"/>
  <c r="C78"/>
  <c r="C79" s="1"/>
  <c r="C74"/>
  <c r="E24"/>
  <c r="H16"/>
  <c r="A16"/>
  <c r="H15"/>
  <c r="A15"/>
  <c r="H14"/>
  <c r="A14"/>
  <c r="A12"/>
  <c r="H11"/>
  <c r="E219"/>
  <c r="K39" s="1"/>
  <c r="E48"/>
  <c r="E59" s="1"/>
  <c r="E70" s="1"/>
  <c r="A11"/>
  <c r="H10"/>
  <c r="A10"/>
  <c r="J8"/>
  <c r="H8"/>
  <c r="A8"/>
  <c r="J7"/>
  <c r="H7"/>
  <c r="E101"/>
  <c r="E220"/>
  <c r="I52" s="1"/>
  <c r="I33"/>
  <c r="J33"/>
  <c r="A7"/>
  <c r="J5"/>
  <c r="O2"/>
  <c r="K74"/>
  <c r="J74"/>
  <c r="E122"/>
  <c r="E156"/>
  <c r="E168" s="1"/>
  <c r="E62"/>
  <c r="K62" s="1"/>
  <c r="I62"/>
  <c r="L214" i="15"/>
  <c r="L213"/>
  <c r="L208"/>
  <c r="L207"/>
  <c r="C199"/>
  <c r="C197"/>
  <c r="C196"/>
  <c r="F195"/>
  <c r="E195"/>
  <c r="C195"/>
  <c r="F193"/>
  <c r="E193"/>
  <c r="D186"/>
  <c r="B186"/>
  <c r="I185"/>
  <c r="C183"/>
  <c r="C181"/>
  <c r="C180"/>
  <c r="F179"/>
  <c r="E179"/>
  <c r="C179"/>
  <c r="F177"/>
  <c r="E177"/>
  <c r="E49"/>
  <c r="E60"/>
  <c r="E71" s="1"/>
  <c r="E102"/>
  <c r="C159"/>
  <c r="F150"/>
  <c r="F151" s="1"/>
  <c r="J9" s="1"/>
  <c r="F149"/>
  <c r="C140"/>
  <c r="C139"/>
  <c r="C138"/>
  <c r="C137"/>
  <c r="C136"/>
  <c r="C127"/>
  <c r="C133"/>
  <c r="C130"/>
  <c r="C126"/>
  <c r="C114"/>
  <c r="C105"/>
  <c r="C111"/>
  <c r="C108"/>
  <c r="C109" s="1"/>
  <c r="C104"/>
  <c r="F94"/>
  <c r="F95" s="1"/>
  <c r="J6" s="1"/>
  <c r="C10" s="1"/>
  <c r="C75"/>
  <c r="C81"/>
  <c r="C78"/>
  <c r="C79" s="1"/>
  <c r="C74"/>
  <c r="E24"/>
  <c r="E48" s="1"/>
  <c r="E59" s="1"/>
  <c r="E70" s="1"/>
  <c r="H16"/>
  <c r="A16"/>
  <c r="H15"/>
  <c r="H14"/>
  <c r="A14"/>
  <c r="A12"/>
  <c r="H11"/>
  <c r="A11"/>
  <c r="H10"/>
  <c r="A10"/>
  <c r="J8"/>
  <c r="H8"/>
  <c r="A8"/>
  <c r="H7"/>
  <c r="A7"/>
  <c r="J5"/>
  <c r="E62"/>
  <c r="E82" i="4"/>
  <c r="E78"/>
  <c r="E79" s="1"/>
  <c r="I78"/>
  <c r="H49"/>
  <c r="I55" s="1"/>
  <c r="E56" s="1"/>
  <c r="J82" s="1"/>
  <c r="E55"/>
  <c r="P51"/>
  <c r="H45"/>
  <c r="D44"/>
  <c r="H44" s="1"/>
  <c r="P43"/>
  <c r="L2"/>
  <c r="I55" i="41"/>
  <c r="H35"/>
  <c r="E78"/>
  <c r="I78"/>
  <c r="H49"/>
  <c r="E55"/>
  <c r="P51"/>
  <c r="H45"/>
  <c r="D44"/>
  <c r="H44" s="1"/>
  <c r="P43"/>
  <c r="C22" i="36"/>
  <c r="Y45" s="1"/>
  <c r="L47"/>
  <c r="L50"/>
  <c r="Q48"/>
  <c r="C49" s="1"/>
  <c r="R72" s="1"/>
  <c r="L69"/>
  <c r="L73" s="1"/>
  <c r="L70"/>
  <c r="C71"/>
  <c r="C79" s="1"/>
  <c r="F79" s="1"/>
  <c r="C74"/>
  <c r="R69"/>
  <c r="R70"/>
  <c r="R73"/>
  <c r="C75"/>
  <c r="N73"/>
  <c r="E71" s="1"/>
  <c r="E74"/>
  <c r="E79"/>
  <c r="T73"/>
  <c r="E75"/>
  <c r="M73"/>
  <c r="D71" s="1"/>
  <c r="D79" s="1"/>
  <c r="G79" s="1"/>
  <c r="D74"/>
  <c r="S73"/>
  <c r="D75"/>
  <c r="H79"/>
  <c r="F60"/>
  <c r="C60"/>
  <c r="A60"/>
  <c r="L44"/>
  <c r="L51"/>
  <c r="Y51"/>
  <c r="Y49"/>
  <c r="Z49" s="1"/>
  <c r="AD49" s="1"/>
  <c r="AE49" s="1"/>
  <c r="Y48"/>
  <c r="Z48" s="1"/>
  <c r="AD48" s="1"/>
  <c r="AE48" s="1"/>
  <c r="AA48"/>
  <c r="Y44"/>
  <c r="Z44" s="1"/>
  <c r="AD44" s="1"/>
  <c r="AE44" s="1"/>
  <c r="AA44"/>
  <c r="H39"/>
  <c r="D39"/>
  <c r="B39"/>
  <c r="H38"/>
  <c r="D38"/>
  <c r="B38"/>
  <c r="H37"/>
  <c r="D37"/>
  <c r="B37"/>
  <c r="H36"/>
  <c r="D36"/>
  <c r="B36"/>
  <c r="A35"/>
  <c r="H34"/>
  <c r="D34"/>
  <c r="B34"/>
  <c r="A33"/>
  <c r="D23"/>
  <c r="B23"/>
  <c r="M2"/>
  <c r="C22" i="6"/>
  <c r="Y44"/>
  <c r="AA44"/>
  <c r="L46" s="1"/>
  <c r="L48" s="1"/>
  <c r="L47"/>
  <c r="Z44"/>
  <c r="AD44" s="1"/>
  <c r="L50"/>
  <c r="Q48"/>
  <c r="C49" s="1"/>
  <c r="R72" s="1"/>
  <c r="L69"/>
  <c r="L70"/>
  <c r="L73"/>
  <c r="C71" s="1"/>
  <c r="C79" s="1"/>
  <c r="F79" s="1"/>
  <c r="C74"/>
  <c r="R69"/>
  <c r="R70"/>
  <c r="R73"/>
  <c r="C75"/>
  <c r="N73"/>
  <c r="E71" s="1"/>
  <c r="E79" s="1"/>
  <c r="H79" s="1"/>
  <c r="E74"/>
  <c r="T73"/>
  <c r="E75"/>
  <c r="M73"/>
  <c r="D71" s="1"/>
  <c r="D79" s="1"/>
  <c r="G79" s="1"/>
  <c r="D74"/>
  <c r="S73"/>
  <c r="D75"/>
  <c r="F60"/>
  <c r="C60"/>
  <c r="A60"/>
  <c r="L44"/>
  <c r="L53" s="1"/>
  <c r="L51"/>
  <c r="AE51"/>
  <c r="Y51"/>
  <c r="AA51" s="1"/>
  <c r="Y50"/>
  <c r="Z50" s="1"/>
  <c r="AD50" s="1"/>
  <c r="AE50" s="1"/>
  <c r="AA50"/>
  <c r="Y49"/>
  <c r="Z49" s="1"/>
  <c r="AD49" s="1"/>
  <c r="AE49"/>
  <c r="AA49"/>
  <c r="Y48"/>
  <c r="Z48" s="1"/>
  <c r="AD48" s="1"/>
  <c r="AE48" s="1"/>
  <c r="AA48"/>
  <c r="Y47"/>
  <c r="Z47"/>
  <c r="AD47" s="1"/>
  <c r="AE47" s="1"/>
  <c r="AA47"/>
  <c r="Y46"/>
  <c r="Z46" s="1"/>
  <c r="AD46" s="1"/>
  <c r="AE46" s="1"/>
  <c r="Y45"/>
  <c r="Z45" s="1"/>
  <c r="AD45" s="1"/>
  <c r="AE45" s="1"/>
  <c r="AA45"/>
  <c r="H39"/>
  <c r="D39"/>
  <c r="B39"/>
  <c r="H38"/>
  <c r="D38"/>
  <c r="B38"/>
  <c r="H37"/>
  <c r="D37"/>
  <c r="B37"/>
  <c r="H36"/>
  <c r="D36"/>
  <c r="B36"/>
  <c r="A35"/>
  <c r="H34"/>
  <c r="D34"/>
  <c r="B34"/>
  <c r="A33"/>
  <c r="D23"/>
  <c r="B23"/>
  <c r="M2"/>
  <c r="U158" i="30"/>
  <c r="T158"/>
  <c r="S158"/>
  <c r="R158"/>
  <c r="Q158"/>
  <c r="P158"/>
  <c r="O158"/>
  <c r="N158"/>
  <c r="M158"/>
  <c r="K158"/>
  <c r="J158"/>
  <c r="I158"/>
  <c r="G158"/>
  <c r="F158"/>
  <c r="E158"/>
  <c r="C158"/>
  <c r="U157"/>
  <c r="T157"/>
  <c r="S157"/>
  <c r="R157"/>
  <c r="Q157"/>
  <c r="P157"/>
  <c r="O157"/>
  <c r="N157"/>
  <c r="M157"/>
  <c r="K157"/>
  <c r="J157"/>
  <c r="I157"/>
  <c r="G157"/>
  <c r="F157"/>
  <c r="E157"/>
  <c r="C157"/>
  <c r="U156"/>
  <c r="T156"/>
  <c r="S156"/>
  <c r="R156"/>
  <c r="Q156"/>
  <c r="P156"/>
  <c r="O156"/>
  <c r="N156"/>
  <c r="M156"/>
  <c r="K156"/>
  <c r="J156"/>
  <c r="I156"/>
  <c r="G156"/>
  <c r="F156"/>
  <c r="E156"/>
  <c r="C156"/>
  <c r="U155"/>
  <c r="T155"/>
  <c r="S155"/>
  <c r="R155"/>
  <c r="Q155"/>
  <c r="P155"/>
  <c r="O155"/>
  <c r="N155"/>
  <c r="M155"/>
  <c r="K155"/>
  <c r="J155"/>
  <c r="I155"/>
  <c r="G155"/>
  <c r="F155"/>
  <c r="E155"/>
  <c r="C155"/>
  <c r="U154"/>
  <c r="T154"/>
  <c r="S154"/>
  <c r="R154"/>
  <c r="Q154"/>
  <c r="P154"/>
  <c r="O154"/>
  <c r="N154"/>
  <c r="M154"/>
  <c r="K154"/>
  <c r="J154"/>
  <c r="I154"/>
  <c r="G154"/>
  <c r="F154"/>
  <c r="E154"/>
  <c r="C154"/>
  <c r="U153"/>
  <c r="T153"/>
  <c r="S153"/>
  <c r="R153"/>
  <c r="Q153"/>
  <c r="P153"/>
  <c r="O153"/>
  <c r="N153"/>
  <c r="M153"/>
  <c r="K153"/>
  <c r="J153"/>
  <c r="I153"/>
  <c r="G153"/>
  <c r="F153"/>
  <c r="E153"/>
  <c r="C153"/>
  <c r="U152"/>
  <c r="T152"/>
  <c r="S152"/>
  <c r="R152"/>
  <c r="Q152"/>
  <c r="P152"/>
  <c r="O152"/>
  <c r="N152"/>
  <c r="M152"/>
  <c r="K152"/>
  <c r="J152"/>
  <c r="I152"/>
  <c r="G152"/>
  <c r="F152"/>
  <c r="E152"/>
  <c r="C152"/>
  <c r="U151"/>
  <c r="T151"/>
  <c r="S151"/>
  <c r="R151"/>
  <c r="Q151"/>
  <c r="P151"/>
  <c r="O151"/>
  <c r="N151"/>
  <c r="M151"/>
  <c r="K151"/>
  <c r="J151"/>
  <c r="I151"/>
  <c r="G151"/>
  <c r="F151"/>
  <c r="E151"/>
  <c r="C151"/>
  <c r="U150"/>
  <c r="T150"/>
  <c r="S150"/>
  <c r="R150"/>
  <c r="Q150"/>
  <c r="P150"/>
  <c r="O150"/>
  <c r="N150"/>
  <c r="M150"/>
  <c r="K150"/>
  <c r="J150"/>
  <c r="I150"/>
  <c r="G150"/>
  <c r="F150"/>
  <c r="E150"/>
  <c r="C150"/>
  <c r="U149"/>
  <c r="T149"/>
  <c r="S149"/>
  <c r="R149"/>
  <c r="Q149"/>
  <c r="P149"/>
  <c r="O149"/>
  <c r="N149"/>
  <c r="M149"/>
  <c r="K149"/>
  <c r="J149"/>
  <c r="I149"/>
  <c r="G149"/>
  <c r="F149"/>
  <c r="E149"/>
  <c r="C149"/>
  <c r="U148"/>
  <c r="T148"/>
  <c r="S148"/>
  <c r="R148"/>
  <c r="Q148"/>
  <c r="P148"/>
  <c r="O148"/>
  <c r="N148"/>
  <c r="M148"/>
  <c r="K148"/>
  <c r="J148"/>
  <c r="I148"/>
  <c r="G148"/>
  <c r="F148"/>
  <c r="E148"/>
  <c r="C148"/>
  <c r="U147"/>
  <c r="T147"/>
  <c r="S147"/>
  <c r="R147"/>
  <c r="Q147"/>
  <c r="P147"/>
  <c r="O147"/>
  <c r="N147"/>
  <c r="M147"/>
  <c r="K147"/>
  <c r="J147"/>
  <c r="I147"/>
  <c r="G147"/>
  <c r="F147"/>
  <c r="E147"/>
  <c r="C147"/>
  <c r="U146"/>
  <c r="T146"/>
  <c r="S146"/>
  <c r="R146"/>
  <c r="Q146"/>
  <c r="P146"/>
  <c r="O146"/>
  <c r="N146"/>
  <c r="M146"/>
  <c r="K146"/>
  <c r="J146"/>
  <c r="I146"/>
  <c r="G146"/>
  <c r="F146"/>
  <c r="E146"/>
  <c r="C146"/>
  <c r="U145"/>
  <c r="T145"/>
  <c r="S145"/>
  <c r="R145"/>
  <c r="Q145"/>
  <c r="P145"/>
  <c r="O145"/>
  <c r="N145"/>
  <c r="M145"/>
  <c r="K145"/>
  <c r="J145"/>
  <c r="I145"/>
  <c r="G145"/>
  <c r="F145"/>
  <c r="E145"/>
  <c r="C145"/>
  <c r="U144"/>
  <c r="T144"/>
  <c r="S144"/>
  <c r="R144"/>
  <c r="Q144"/>
  <c r="P144"/>
  <c r="O144"/>
  <c r="N144"/>
  <c r="M144"/>
  <c r="K144"/>
  <c r="J144"/>
  <c r="I144"/>
  <c r="G144"/>
  <c r="F144"/>
  <c r="E144"/>
  <c r="C144"/>
  <c r="U143"/>
  <c r="T143"/>
  <c r="S143"/>
  <c r="R143"/>
  <c r="Q143"/>
  <c r="P143"/>
  <c r="O143"/>
  <c r="N143"/>
  <c r="M143"/>
  <c r="K143"/>
  <c r="J143"/>
  <c r="I143"/>
  <c r="G143"/>
  <c r="F143"/>
  <c r="E143"/>
  <c r="C143"/>
  <c r="U142"/>
  <c r="T142"/>
  <c r="S142"/>
  <c r="R142"/>
  <c r="Q142"/>
  <c r="P142"/>
  <c r="O142"/>
  <c r="N142"/>
  <c r="M142"/>
  <c r="K142"/>
  <c r="J142"/>
  <c r="I142"/>
  <c r="G142"/>
  <c r="F142"/>
  <c r="E142"/>
  <c r="C142"/>
  <c r="U141"/>
  <c r="T141"/>
  <c r="S141"/>
  <c r="R141"/>
  <c r="Q141"/>
  <c r="P141"/>
  <c r="O141"/>
  <c r="N141"/>
  <c r="M141"/>
  <c r="K141"/>
  <c r="J141"/>
  <c r="I141"/>
  <c r="G141"/>
  <c r="F141"/>
  <c r="E141"/>
  <c r="C141"/>
  <c r="U140"/>
  <c r="T140"/>
  <c r="S140"/>
  <c r="R140"/>
  <c r="Q140"/>
  <c r="P140"/>
  <c r="O140"/>
  <c r="N140"/>
  <c r="M140"/>
  <c r="K140"/>
  <c r="J140"/>
  <c r="I140"/>
  <c r="G140"/>
  <c r="F140"/>
  <c r="E140"/>
  <c r="C140"/>
  <c r="U139"/>
  <c r="T139"/>
  <c r="S139"/>
  <c r="R139"/>
  <c r="Q139"/>
  <c r="P139"/>
  <c r="O139"/>
  <c r="N139"/>
  <c r="M139"/>
  <c r="K139"/>
  <c r="J139"/>
  <c r="I139"/>
  <c r="G139"/>
  <c r="F139"/>
  <c r="E139"/>
  <c r="C139"/>
  <c r="U138"/>
  <c r="T138"/>
  <c r="S138"/>
  <c r="R138"/>
  <c r="Q138"/>
  <c r="P138"/>
  <c r="O138"/>
  <c r="N138"/>
  <c r="M138"/>
  <c r="K138"/>
  <c r="J138"/>
  <c r="I138"/>
  <c r="G138"/>
  <c r="F138"/>
  <c r="E138"/>
  <c r="C138"/>
  <c r="U137"/>
  <c r="T137"/>
  <c r="S137"/>
  <c r="R137"/>
  <c r="Q137"/>
  <c r="P137"/>
  <c r="O137"/>
  <c r="N137"/>
  <c r="M137"/>
  <c r="K137"/>
  <c r="J137"/>
  <c r="I137"/>
  <c r="G137"/>
  <c r="F137"/>
  <c r="E137"/>
  <c r="C137"/>
  <c r="U136"/>
  <c r="T136"/>
  <c r="S136"/>
  <c r="R136"/>
  <c r="Q136"/>
  <c r="P136"/>
  <c r="O136"/>
  <c r="N136"/>
  <c r="M136"/>
  <c r="K136"/>
  <c r="J136"/>
  <c r="I136"/>
  <c r="G136"/>
  <c r="F136"/>
  <c r="E136"/>
  <c r="C136"/>
  <c r="U135"/>
  <c r="T135"/>
  <c r="S135"/>
  <c r="R135"/>
  <c r="Q135"/>
  <c r="P135"/>
  <c r="O135"/>
  <c r="N135"/>
  <c r="M135"/>
  <c r="K135"/>
  <c r="J135"/>
  <c r="I135"/>
  <c r="G135"/>
  <c r="F135"/>
  <c r="E135"/>
  <c r="C135"/>
  <c r="U134"/>
  <c r="T134"/>
  <c r="S134"/>
  <c r="R134"/>
  <c r="Q134"/>
  <c r="P134"/>
  <c r="O134"/>
  <c r="N134"/>
  <c r="M134"/>
  <c r="K134"/>
  <c r="J134"/>
  <c r="I134"/>
  <c r="G134"/>
  <c r="F134"/>
  <c r="E134"/>
  <c r="C134"/>
  <c r="U133"/>
  <c r="T133"/>
  <c r="S133"/>
  <c r="R133"/>
  <c r="Q133"/>
  <c r="P133"/>
  <c r="O133"/>
  <c r="N133"/>
  <c r="M133"/>
  <c r="K133"/>
  <c r="J133"/>
  <c r="I133"/>
  <c r="G133"/>
  <c r="F133"/>
  <c r="E133"/>
  <c r="C133"/>
  <c r="U132"/>
  <c r="T132"/>
  <c r="S132"/>
  <c r="R132"/>
  <c r="Q132"/>
  <c r="P132"/>
  <c r="O132"/>
  <c r="N132"/>
  <c r="M132"/>
  <c r="K132"/>
  <c r="J132"/>
  <c r="I132"/>
  <c r="G132"/>
  <c r="F132"/>
  <c r="E132"/>
  <c r="C132"/>
  <c r="U131"/>
  <c r="T131"/>
  <c r="S131"/>
  <c r="R131"/>
  <c r="Q131"/>
  <c r="P131"/>
  <c r="O131"/>
  <c r="N131"/>
  <c r="M131"/>
  <c r="K131"/>
  <c r="J131"/>
  <c r="I131"/>
  <c r="G131"/>
  <c r="F131"/>
  <c r="E131"/>
  <c r="C131"/>
  <c r="U130"/>
  <c r="T130"/>
  <c r="S130"/>
  <c r="R130"/>
  <c r="Q130"/>
  <c r="P130"/>
  <c r="O130"/>
  <c r="N130"/>
  <c r="M130"/>
  <c r="K130"/>
  <c r="J130"/>
  <c r="I130"/>
  <c r="G130"/>
  <c r="F130"/>
  <c r="E130"/>
  <c r="C130"/>
  <c r="U129"/>
  <c r="T129"/>
  <c r="S129"/>
  <c r="R129"/>
  <c r="Q129"/>
  <c r="P129"/>
  <c r="O129"/>
  <c r="N129"/>
  <c r="M129"/>
  <c r="K129"/>
  <c r="J129"/>
  <c r="I129"/>
  <c r="G129"/>
  <c r="F129"/>
  <c r="E129"/>
  <c r="C129"/>
  <c r="U128"/>
  <c r="T128"/>
  <c r="S128"/>
  <c r="R128"/>
  <c r="Q128"/>
  <c r="P128"/>
  <c r="O128"/>
  <c r="N128"/>
  <c r="M128"/>
  <c r="K128"/>
  <c r="J128"/>
  <c r="I128"/>
  <c r="G128"/>
  <c r="F128"/>
  <c r="E128"/>
  <c r="C128"/>
  <c r="U127"/>
  <c r="T127"/>
  <c r="S127"/>
  <c r="R127"/>
  <c r="Q127"/>
  <c r="P127"/>
  <c r="O127"/>
  <c r="N127"/>
  <c r="M127"/>
  <c r="K127"/>
  <c r="J127"/>
  <c r="I127"/>
  <c r="G127"/>
  <c r="F127"/>
  <c r="E127"/>
  <c r="C127"/>
  <c r="U126"/>
  <c r="T126"/>
  <c r="S126"/>
  <c r="R126"/>
  <c r="Q126"/>
  <c r="P126"/>
  <c r="O126"/>
  <c r="N126"/>
  <c r="M126"/>
  <c r="K126"/>
  <c r="J126"/>
  <c r="I126"/>
  <c r="G126"/>
  <c r="F126"/>
  <c r="E126"/>
  <c r="C126"/>
  <c r="U125"/>
  <c r="T125"/>
  <c r="S125"/>
  <c r="R125"/>
  <c r="Q125"/>
  <c r="P125"/>
  <c r="O125"/>
  <c r="N125"/>
  <c r="M125"/>
  <c r="K125"/>
  <c r="J125"/>
  <c r="I125"/>
  <c r="G125"/>
  <c r="F125"/>
  <c r="E125"/>
  <c r="C125"/>
  <c r="U124"/>
  <c r="T124"/>
  <c r="S124"/>
  <c r="R124"/>
  <c r="Q124"/>
  <c r="P124"/>
  <c r="O124"/>
  <c r="N124"/>
  <c r="M124"/>
  <c r="K124"/>
  <c r="J124"/>
  <c r="I124"/>
  <c r="G124"/>
  <c r="F124"/>
  <c r="E124"/>
  <c r="C124"/>
  <c r="U123"/>
  <c r="T123"/>
  <c r="S123"/>
  <c r="R123"/>
  <c r="Q123"/>
  <c r="P123"/>
  <c r="O123"/>
  <c r="N123"/>
  <c r="M123"/>
  <c r="K123"/>
  <c r="J123"/>
  <c r="I123"/>
  <c r="G123"/>
  <c r="F123"/>
  <c r="E123"/>
  <c r="C123"/>
  <c r="U122"/>
  <c r="T122"/>
  <c r="S122"/>
  <c r="R122"/>
  <c r="Q122"/>
  <c r="P122"/>
  <c r="O122"/>
  <c r="N122"/>
  <c r="M122"/>
  <c r="K122"/>
  <c r="J122"/>
  <c r="I122"/>
  <c r="G122"/>
  <c r="F122"/>
  <c r="E122"/>
  <c r="C122"/>
  <c r="U121"/>
  <c r="T121"/>
  <c r="S121"/>
  <c r="R121"/>
  <c r="Q121"/>
  <c r="P121"/>
  <c r="O121"/>
  <c r="N121"/>
  <c r="M121"/>
  <c r="K121"/>
  <c r="J121"/>
  <c r="I121"/>
  <c r="G121"/>
  <c r="F121"/>
  <c r="E121"/>
  <c r="C121"/>
  <c r="U120"/>
  <c r="T120"/>
  <c r="S120"/>
  <c r="R120"/>
  <c r="Q120"/>
  <c r="P120"/>
  <c r="O120"/>
  <c r="N120"/>
  <c r="M120"/>
  <c r="K120"/>
  <c r="J120"/>
  <c r="I120"/>
  <c r="G120"/>
  <c r="F120"/>
  <c r="E120"/>
  <c r="C120"/>
  <c r="J112"/>
  <c r="D12"/>
  <c r="H31" s="1"/>
  <c r="D11"/>
  <c r="L115"/>
  <c r="L21" i="29"/>
  <c r="L132" i="30" s="1"/>
  <c r="B2" i="29"/>
  <c r="H13"/>
  <c r="H124" i="30" s="1"/>
  <c r="H29" i="29"/>
  <c r="H140" i="30" s="1"/>
  <c r="H45" i="29"/>
  <c r="H156" i="30" s="1"/>
  <c r="C22" i="43"/>
  <c r="Y50"/>
  <c r="L53"/>
  <c r="L56"/>
  <c r="Q54"/>
  <c r="C55" s="1"/>
  <c r="R78" s="1"/>
  <c r="L75"/>
  <c r="L79" s="1"/>
  <c r="C77" s="1"/>
  <c r="C85" s="1"/>
  <c r="F85" s="1"/>
  <c r="L76"/>
  <c r="C80"/>
  <c r="R75"/>
  <c r="R76"/>
  <c r="R79"/>
  <c r="C81"/>
  <c r="E80"/>
  <c r="T79"/>
  <c r="E81"/>
  <c r="D80"/>
  <c r="S79"/>
  <c r="D81"/>
  <c r="F66"/>
  <c r="C66"/>
  <c r="A66"/>
  <c r="L57"/>
  <c r="AE57"/>
  <c r="Y57"/>
  <c r="AA57" s="1"/>
  <c r="Y56"/>
  <c r="Z56"/>
  <c r="AD56" s="1"/>
  <c r="AE56" s="1"/>
  <c r="AA56"/>
  <c r="Y55"/>
  <c r="Z55" s="1"/>
  <c r="AD55"/>
  <c r="AE55" s="1"/>
  <c r="AA55"/>
  <c r="Y54"/>
  <c r="Z54"/>
  <c r="AD54" s="1"/>
  <c r="AE54" s="1"/>
  <c r="AA54"/>
  <c r="Y53"/>
  <c r="Z53" s="1"/>
  <c r="AD53" s="1"/>
  <c r="AE53" s="1"/>
  <c r="AA53"/>
  <c r="Y52"/>
  <c r="Z52"/>
  <c r="AD52" s="1"/>
  <c r="AE52" s="1"/>
  <c r="AA52"/>
  <c r="Y51"/>
  <c r="Z51" s="1"/>
  <c r="AD51"/>
  <c r="AE51" s="1"/>
  <c r="AA51"/>
  <c r="A33"/>
  <c r="B23"/>
  <c r="C22" i="44"/>
  <c r="Y44"/>
  <c r="L47"/>
  <c r="L50"/>
  <c r="Q48"/>
  <c r="C49"/>
  <c r="L69"/>
  <c r="L70"/>
  <c r="C74"/>
  <c r="R69"/>
  <c r="R70"/>
  <c r="R72"/>
  <c r="R73"/>
  <c r="C75"/>
  <c r="E74"/>
  <c r="T73"/>
  <c r="E75"/>
  <c r="D74"/>
  <c r="S73"/>
  <c r="D75"/>
  <c r="F60"/>
  <c r="C60"/>
  <c r="A60"/>
  <c r="L51"/>
  <c r="AE51"/>
  <c r="Y51"/>
  <c r="AA51" s="1"/>
  <c r="Z51"/>
  <c r="Y50"/>
  <c r="Z50"/>
  <c r="AD50" s="1"/>
  <c r="AE50" s="1"/>
  <c r="AA50"/>
  <c r="Y49"/>
  <c r="Z49" s="1"/>
  <c r="AD49"/>
  <c r="AE49" s="1"/>
  <c r="AA49"/>
  <c r="Y48"/>
  <c r="Z48"/>
  <c r="AD48" s="1"/>
  <c r="AE48" s="1"/>
  <c r="AA48"/>
  <c r="Y47"/>
  <c r="Z47" s="1"/>
  <c r="AD47" s="1"/>
  <c r="AE47" s="1"/>
  <c r="AA47"/>
  <c r="Y46"/>
  <c r="Z46"/>
  <c r="AD46" s="1"/>
  <c r="AE46" s="1"/>
  <c r="AA46"/>
  <c r="Y45"/>
  <c r="Z45" s="1"/>
  <c r="AD45"/>
  <c r="AE45" s="1"/>
  <c r="AA45"/>
  <c r="H39"/>
  <c r="D39"/>
  <c r="B39"/>
  <c r="H38"/>
  <c r="D38"/>
  <c r="B38"/>
  <c r="H37"/>
  <c r="D37"/>
  <c r="B37"/>
  <c r="H36"/>
  <c r="D36"/>
  <c r="B36"/>
  <c r="A35"/>
  <c r="H34"/>
  <c r="D34"/>
  <c r="B34"/>
  <c r="A33"/>
  <c r="D23"/>
  <c r="B23"/>
  <c r="L143" i="13"/>
  <c r="L142"/>
  <c r="L137"/>
  <c r="L136"/>
  <c r="C128"/>
  <c r="C126"/>
  <c r="C125"/>
  <c r="F124"/>
  <c r="E124"/>
  <c r="C124"/>
  <c r="F122"/>
  <c r="E122"/>
  <c r="D115"/>
  <c r="B115"/>
  <c r="I114"/>
  <c r="C112"/>
  <c r="C110"/>
  <c r="C109"/>
  <c r="F108"/>
  <c r="E108"/>
  <c r="C108"/>
  <c r="F106"/>
  <c r="E106"/>
  <c r="E46"/>
  <c r="E57"/>
  <c r="C88"/>
  <c r="F79"/>
  <c r="F78"/>
  <c r="C61"/>
  <c r="C67"/>
  <c r="C68" s="1"/>
  <c r="C60"/>
  <c r="E21"/>
  <c r="E148" s="1"/>
  <c r="K30" s="1"/>
  <c r="H13"/>
  <c r="A13"/>
  <c r="H12"/>
  <c r="A12"/>
  <c r="H11"/>
  <c r="A11"/>
  <c r="H9"/>
  <c r="A9"/>
  <c r="H7"/>
  <c r="A7"/>
  <c r="J5"/>
  <c r="J32"/>
  <c r="C65"/>
  <c r="I26"/>
  <c r="E48"/>
  <c r="L152" i="8"/>
  <c r="L151"/>
  <c r="L146"/>
  <c r="L145"/>
  <c r="C137"/>
  <c r="C135"/>
  <c r="C134"/>
  <c r="F133"/>
  <c r="E133"/>
  <c r="C133"/>
  <c r="F131"/>
  <c r="E131"/>
  <c r="D124"/>
  <c r="B124"/>
  <c r="I123"/>
  <c r="L123"/>
  <c r="C121"/>
  <c r="C119"/>
  <c r="C118"/>
  <c r="F117"/>
  <c r="E117"/>
  <c r="C117"/>
  <c r="F115"/>
  <c r="E115"/>
  <c r="E46"/>
  <c r="E55"/>
  <c r="E66" s="1"/>
  <c r="C97"/>
  <c r="F88"/>
  <c r="F87"/>
  <c r="C70"/>
  <c r="C69"/>
  <c r="E22"/>
  <c r="E157" s="1"/>
  <c r="H14"/>
  <c r="A14"/>
  <c r="H13"/>
  <c r="A13"/>
  <c r="A12"/>
  <c r="H11"/>
  <c r="A11"/>
  <c r="H9"/>
  <c r="A9"/>
  <c r="H7"/>
  <c r="A7"/>
  <c r="J5"/>
  <c r="E45"/>
  <c r="E54" s="1"/>
  <c r="E65" s="1"/>
  <c r="E67" s="1"/>
  <c r="E57"/>
  <c r="L140" i="7"/>
  <c r="L139"/>
  <c r="L134"/>
  <c r="L133"/>
  <c r="C125"/>
  <c r="C123"/>
  <c r="C122"/>
  <c r="F121"/>
  <c r="E121"/>
  <c r="C121"/>
  <c r="F119"/>
  <c r="E119"/>
  <c r="D112"/>
  <c r="B112"/>
  <c r="I111"/>
  <c r="L111" s="1"/>
  <c r="C107"/>
  <c r="E45"/>
  <c r="E56" s="1"/>
  <c r="C85"/>
  <c r="F75"/>
  <c r="F76"/>
  <c r="F77" s="1"/>
  <c r="C60"/>
  <c r="C66" s="1"/>
  <c r="C63"/>
  <c r="C64" s="1"/>
  <c r="C59"/>
  <c r="E21"/>
  <c r="E44" s="1"/>
  <c r="E55" s="1"/>
  <c r="H13"/>
  <c r="A13"/>
  <c r="H12"/>
  <c r="A12"/>
  <c r="H11"/>
  <c r="A11"/>
  <c r="H9"/>
  <c r="A9"/>
  <c r="A7"/>
  <c r="J5"/>
  <c r="F38" i="45"/>
  <c r="N21"/>
  <c r="K19"/>
  <c r="L18"/>
  <c r="L19" s="1"/>
  <c r="N19" s="1"/>
  <c r="M19"/>
  <c r="F16"/>
  <c r="Z57" i="43" l="1"/>
  <c r="E79" i="41"/>
  <c r="J82"/>
  <c r="J6" i="7"/>
  <c r="E145"/>
  <c r="J30" i="8"/>
  <c r="K38"/>
  <c r="L38" s="1"/>
  <c r="O38" s="1"/>
  <c r="K27"/>
  <c r="J29" i="7"/>
  <c r="J35"/>
  <c r="I125"/>
  <c r="L125" s="1"/>
  <c r="L126" s="1"/>
  <c r="L128" s="1"/>
  <c r="B15" s="1"/>
  <c r="F80" i="13"/>
  <c r="H47" i="55"/>
  <c r="H46"/>
  <c r="H45"/>
  <c r="H44"/>
  <c r="H43"/>
  <c r="H42"/>
  <c r="H41"/>
  <c r="H40"/>
  <c r="H39"/>
  <c r="H38"/>
  <c r="H37"/>
  <c r="H36"/>
  <c r="H35"/>
  <c r="H34"/>
  <c r="H33"/>
  <c r="H32"/>
  <c r="H31"/>
  <c r="H30"/>
  <c r="H29"/>
  <c r="H28"/>
  <c r="H27"/>
  <c r="H26"/>
  <c r="H25"/>
  <c r="H24"/>
  <c r="H23"/>
  <c r="H22"/>
  <c r="H21"/>
  <c r="H20"/>
  <c r="H19"/>
  <c r="H18"/>
  <c r="H17"/>
  <c r="H16"/>
  <c r="H15"/>
  <c r="H14"/>
  <c r="H13"/>
  <c r="H12"/>
  <c r="H11"/>
  <c r="H10"/>
  <c r="H9"/>
  <c r="L47"/>
  <c r="L46"/>
  <c r="L45"/>
  <c r="L44"/>
  <c r="L43"/>
  <c r="L42"/>
  <c r="L41"/>
  <c r="L40"/>
  <c r="L39"/>
  <c r="L38"/>
  <c r="L37"/>
  <c r="L36"/>
  <c r="L35"/>
  <c r="L34"/>
  <c r="L33"/>
  <c r="L32"/>
  <c r="L31"/>
  <c r="L30"/>
  <c r="L29"/>
  <c r="L28"/>
  <c r="L27"/>
  <c r="L26"/>
  <c r="L25"/>
  <c r="L24"/>
  <c r="L23"/>
  <c r="L22"/>
  <c r="L21"/>
  <c r="L20"/>
  <c r="L19"/>
  <c r="L18"/>
  <c r="L17"/>
  <c r="L16"/>
  <c r="L15"/>
  <c r="L14"/>
  <c r="L13"/>
  <c r="L12"/>
  <c r="L11"/>
  <c r="L10"/>
  <c r="L9"/>
  <c r="I109" i="7"/>
  <c r="L109" s="1"/>
  <c r="L112" s="1"/>
  <c r="L114" s="1"/>
  <c r="B14" s="1"/>
  <c r="E94" i="8"/>
  <c r="E106" s="1"/>
  <c r="K32"/>
  <c r="F89"/>
  <c r="J6" s="1"/>
  <c r="E45" i="13"/>
  <c r="E56" s="1"/>
  <c r="E219" i="15"/>
  <c r="E149" i="50"/>
  <c r="E23"/>
  <c r="J32"/>
  <c r="I128"/>
  <c r="L128" s="1"/>
  <c r="L129" s="1"/>
  <c r="L131" s="1"/>
  <c r="B15" s="1"/>
  <c r="D15" s="1"/>
  <c r="E15" s="1"/>
  <c r="E48"/>
  <c r="K48" s="1"/>
  <c r="E57" i="7"/>
  <c r="E82"/>
  <c r="E94" s="1"/>
  <c r="E83"/>
  <c r="J7"/>
  <c r="C14"/>
  <c r="C7"/>
  <c r="C11"/>
  <c r="C9"/>
  <c r="C9" i="8"/>
  <c r="J7"/>
  <c r="C7"/>
  <c r="C15"/>
  <c r="C11"/>
  <c r="C12"/>
  <c r="E85" i="7"/>
  <c r="D15"/>
  <c r="E15" s="1"/>
  <c r="E158" i="8"/>
  <c r="J72" s="1"/>
  <c r="J31"/>
  <c r="E24"/>
  <c r="I36"/>
  <c r="I32"/>
  <c r="I30"/>
  <c r="I29" i="7"/>
  <c r="K31"/>
  <c r="E146"/>
  <c r="J62" s="1"/>
  <c r="K28"/>
  <c r="J31"/>
  <c r="K37"/>
  <c r="L37" s="1"/>
  <c r="I121" i="8"/>
  <c r="L121" s="1"/>
  <c r="L124" s="1"/>
  <c r="L126" s="1"/>
  <c r="B15" s="1"/>
  <c r="K30"/>
  <c r="I33"/>
  <c r="I137"/>
  <c r="L137" s="1"/>
  <c r="L138" s="1"/>
  <c r="L140" s="1"/>
  <c r="B16" s="1"/>
  <c r="J32"/>
  <c r="C76"/>
  <c r="C77" s="1"/>
  <c r="C74"/>
  <c r="E95"/>
  <c r="E97" s="1"/>
  <c r="K32" i="13"/>
  <c r="B68"/>
  <c r="E69"/>
  <c r="H41" i="29"/>
  <c r="H152" i="30" s="1"/>
  <c r="H25" i="29"/>
  <c r="H136" i="30" s="1"/>
  <c r="L29" i="29"/>
  <c r="L140" i="30" s="1"/>
  <c r="H82"/>
  <c r="I32" i="7"/>
  <c r="E47"/>
  <c r="I27" i="8"/>
  <c r="I31"/>
  <c r="K33"/>
  <c r="J33"/>
  <c r="E85" i="13"/>
  <c r="E97" s="1"/>
  <c r="E58"/>
  <c r="K36"/>
  <c r="J26"/>
  <c r="I31"/>
  <c r="I112"/>
  <c r="L112" s="1"/>
  <c r="K26"/>
  <c r="I30"/>
  <c r="I33"/>
  <c r="J33"/>
  <c r="K38"/>
  <c r="L38" s="1"/>
  <c r="J29"/>
  <c r="I29"/>
  <c r="K33"/>
  <c r="E149"/>
  <c r="K31"/>
  <c r="I36"/>
  <c r="E23"/>
  <c r="K29"/>
  <c r="J31"/>
  <c r="I32"/>
  <c r="J36"/>
  <c r="AA44" i="44"/>
  <c r="L46" s="1"/>
  <c r="Z44"/>
  <c r="AD44" s="1"/>
  <c r="L44"/>
  <c r="AA50" i="43"/>
  <c r="L52" s="1"/>
  <c r="Z50"/>
  <c r="AD50" s="1"/>
  <c r="L50"/>
  <c r="H37" i="29"/>
  <c r="H148" i="30" s="1"/>
  <c r="H21" i="29"/>
  <c r="H132" i="30" s="1"/>
  <c r="H10" i="29"/>
  <c r="H121" i="30" s="1"/>
  <c r="L37" i="29"/>
  <c r="L148" i="30" s="1"/>
  <c r="H85"/>
  <c r="H26"/>
  <c r="N38" i="8"/>
  <c r="I64" i="7"/>
  <c r="J25"/>
  <c r="J30"/>
  <c r="I35"/>
  <c r="K25"/>
  <c r="I30"/>
  <c r="K31" i="8"/>
  <c r="K36"/>
  <c r="J27"/>
  <c r="J36"/>
  <c r="J30" i="13"/>
  <c r="I128"/>
  <c r="L128" s="1"/>
  <c r="L129" s="1"/>
  <c r="L131" s="1"/>
  <c r="B15" s="1"/>
  <c r="E68"/>
  <c r="J6"/>
  <c r="E86"/>
  <c r="K65"/>
  <c r="L73" i="44"/>
  <c r="C71" s="1"/>
  <c r="C79" s="1"/>
  <c r="F79" s="1"/>
  <c r="M73"/>
  <c r="D71" s="1"/>
  <c r="D79" s="1"/>
  <c r="G79" s="1"/>
  <c r="N73"/>
  <c r="E71" s="1"/>
  <c r="E79" s="1"/>
  <c r="H79" s="1"/>
  <c r="M79" i="43"/>
  <c r="D77" s="1"/>
  <c r="D85" s="1"/>
  <c r="G85" s="1"/>
  <c r="N79"/>
  <c r="E77" s="1"/>
  <c r="E85" s="1"/>
  <c r="H85" s="1"/>
  <c r="H33" i="29"/>
  <c r="H144" i="30" s="1"/>
  <c r="H17" i="29"/>
  <c r="H128" i="30" s="1"/>
  <c r="L13" i="29"/>
  <c r="L124" i="30" s="1"/>
  <c r="L45" i="29"/>
  <c r="L156" i="30" s="1"/>
  <c r="H30"/>
  <c r="H84"/>
  <c r="L117"/>
  <c r="L35"/>
  <c r="H87"/>
  <c r="L44" i="29"/>
  <c r="L155" i="30" s="1"/>
  <c r="L36" i="29"/>
  <c r="L147" i="30" s="1"/>
  <c r="L28" i="29"/>
  <c r="L139" i="30" s="1"/>
  <c r="L20" i="29"/>
  <c r="L131" i="30" s="1"/>
  <c r="L12" i="29"/>
  <c r="L123" i="30" s="1"/>
  <c r="L9" i="29"/>
  <c r="L120" i="30" s="1"/>
  <c r="H14" i="29"/>
  <c r="H125" i="30" s="1"/>
  <c r="H18" i="29"/>
  <c r="H129" i="30" s="1"/>
  <c r="H22" i="29"/>
  <c r="H133" i="30" s="1"/>
  <c r="H26" i="29"/>
  <c r="H137" i="30" s="1"/>
  <c r="H30" i="29"/>
  <c r="H141" i="30" s="1"/>
  <c r="H34" i="29"/>
  <c r="H145" i="30" s="1"/>
  <c r="H38" i="29"/>
  <c r="H149" i="30" s="1"/>
  <c r="H42" i="29"/>
  <c r="H153" i="30" s="1"/>
  <c r="L46" i="29"/>
  <c r="L157" i="30" s="1"/>
  <c r="H17"/>
  <c r="L42"/>
  <c r="H90"/>
  <c r="H20"/>
  <c r="L53"/>
  <c r="H93"/>
  <c r="L41" i="29"/>
  <c r="L152" i="30" s="1"/>
  <c r="L33" i="29"/>
  <c r="L144" i="30" s="1"/>
  <c r="L25" i="29"/>
  <c r="L136" i="30" s="1"/>
  <c r="L17" i="29"/>
  <c r="L128" i="30" s="1"/>
  <c r="H11" i="29"/>
  <c r="H122" i="30" s="1"/>
  <c r="H9" i="29"/>
  <c r="H120" i="30" s="1"/>
  <c r="H15" i="29"/>
  <c r="H126" i="30" s="1"/>
  <c r="H19" i="29"/>
  <c r="H130" i="30" s="1"/>
  <c r="H23" i="29"/>
  <c r="H134" i="30" s="1"/>
  <c r="H27" i="29"/>
  <c r="H138" i="30" s="1"/>
  <c r="H31" i="29"/>
  <c r="H142" i="30" s="1"/>
  <c r="H35" i="29"/>
  <c r="H146" i="30" s="1"/>
  <c r="H39" i="29"/>
  <c r="H150" i="30" s="1"/>
  <c r="H43" i="29"/>
  <c r="H154" i="30" s="1"/>
  <c r="L47" i="29"/>
  <c r="L158" i="30" s="1"/>
  <c r="L114" i="13"/>
  <c r="H19" i="30"/>
  <c r="L52"/>
  <c r="H92"/>
  <c r="H23"/>
  <c r="L77"/>
  <c r="L109"/>
  <c r="L40" i="29"/>
  <c r="L151" i="30" s="1"/>
  <c r="L32" i="29"/>
  <c r="L143" i="30" s="1"/>
  <c r="L24" i="29"/>
  <c r="L135" i="30" s="1"/>
  <c r="L16" i="29"/>
  <c r="L127" i="30" s="1"/>
  <c r="L10" i="29"/>
  <c r="L121" i="30" s="1"/>
  <c r="H16" i="29"/>
  <c r="H127" i="30" s="1"/>
  <c r="H20" i="29"/>
  <c r="H131" i="30" s="1"/>
  <c r="H24" i="29"/>
  <c r="H135" i="30" s="1"/>
  <c r="H28" i="29"/>
  <c r="H139" i="30" s="1"/>
  <c r="H32" i="29"/>
  <c r="H143" i="30" s="1"/>
  <c r="H36" i="29"/>
  <c r="H147" i="30" s="1"/>
  <c r="H40" i="29"/>
  <c r="H151" i="30" s="1"/>
  <c r="H44" i="29"/>
  <c r="H155" i="30" s="1"/>
  <c r="AA46" i="6"/>
  <c r="L49"/>
  <c r="L52" s="1"/>
  <c r="C48" s="1"/>
  <c r="AE44"/>
  <c r="AA51" i="36"/>
  <c r="Z51"/>
  <c r="C8" i="15"/>
  <c r="C17"/>
  <c r="E123"/>
  <c r="L185"/>
  <c r="AA49" i="36"/>
  <c r="AA45"/>
  <c r="L46" s="1"/>
  <c r="L48" s="1"/>
  <c r="Z45"/>
  <c r="AD45" s="1"/>
  <c r="E101" i="15"/>
  <c r="E72"/>
  <c r="L53" i="36"/>
  <c r="C14" i="15"/>
  <c r="J7"/>
  <c r="C7"/>
  <c r="J10"/>
  <c r="C11"/>
  <c r="C12"/>
  <c r="L11" i="29"/>
  <c r="L122" i="30" s="1"/>
  <c r="L14" i="29"/>
  <c r="L125" i="30" s="1"/>
  <c r="L18" i="29"/>
  <c r="L129" i="30" s="1"/>
  <c r="L22" i="29"/>
  <c r="L133" i="30" s="1"/>
  <c r="L26" i="29"/>
  <c r="L137" i="30" s="1"/>
  <c r="L30" i="29"/>
  <c r="L141" i="30" s="1"/>
  <c r="L34" i="29"/>
  <c r="L145" i="30" s="1"/>
  <c r="L38" i="29"/>
  <c r="L149" i="30" s="1"/>
  <c r="L42" i="29"/>
  <c r="L153" i="30" s="1"/>
  <c r="H47" i="29"/>
  <c r="H158" i="30" s="1"/>
  <c r="L112"/>
  <c r="H91"/>
  <c r="H83"/>
  <c r="L45"/>
  <c r="H29"/>
  <c r="H18"/>
  <c r="L110"/>
  <c r="L88"/>
  <c r="L78"/>
  <c r="L36"/>
  <c r="H24"/>
  <c r="H15"/>
  <c r="Z51" i="6"/>
  <c r="Y46" i="36"/>
  <c r="Y50"/>
  <c r="AE51"/>
  <c r="I39" i="15"/>
  <c r="J33"/>
  <c r="I36"/>
  <c r="K41"/>
  <c r="L41" s="1"/>
  <c r="J34"/>
  <c r="C131"/>
  <c r="H12" i="29"/>
  <c r="H123" i="30" s="1"/>
  <c r="L15" i="29"/>
  <c r="L126" i="30" s="1"/>
  <c r="L19" i="29"/>
  <c r="L130" i="30" s="1"/>
  <c r="L23" i="29"/>
  <c r="L134" i="30" s="1"/>
  <c r="L27" i="29"/>
  <c r="L138" i="30" s="1"/>
  <c r="L31" i="29"/>
  <c r="L142" i="30" s="1"/>
  <c r="L35" i="29"/>
  <c r="L146" i="30" s="1"/>
  <c r="L39" i="29"/>
  <c r="L150" i="30" s="1"/>
  <c r="L43" i="29"/>
  <c r="L154" i="30" s="1"/>
  <c r="H46" i="29"/>
  <c r="H157" i="30" s="1"/>
  <c r="L111"/>
  <c r="H89"/>
  <c r="L81"/>
  <c r="L40"/>
  <c r="H25"/>
  <c r="H16"/>
  <c r="L108"/>
  <c r="H86"/>
  <c r="L74"/>
  <c r="H32"/>
  <c r="H21"/>
  <c r="L116"/>
  <c r="Y47" i="36"/>
  <c r="I29" i="15"/>
  <c r="I35"/>
  <c r="K35"/>
  <c r="I32"/>
  <c r="I33"/>
  <c r="K32"/>
  <c r="E220"/>
  <c r="I109" s="1"/>
  <c r="J32"/>
  <c r="J35"/>
  <c r="J79" i="51"/>
  <c r="I79"/>
  <c r="K79"/>
  <c r="I77"/>
  <c r="J77"/>
  <c r="J85" s="1"/>
  <c r="E26"/>
  <c r="J35"/>
  <c r="I35"/>
  <c r="K81"/>
  <c r="J81"/>
  <c r="K52"/>
  <c r="I51"/>
  <c r="J52"/>
  <c r="L52" s="1"/>
  <c r="N52" s="1"/>
  <c r="I183"/>
  <c r="L183" s="1"/>
  <c r="L186" s="1"/>
  <c r="L188" s="1"/>
  <c r="B17" s="1"/>
  <c r="D16" i="49"/>
  <c r="E16" s="1"/>
  <c r="E124" i="51"/>
  <c r="K51"/>
  <c r="K53" s="1"/>
  <c r="I84"/>
  <c r="K29"/>
  <c r="I36"/>
  <c r="L36" s="1"/>
  <c r="K35"/>
  <c r="E103"/>
  <c r="C7"/>
  <c r="O32" i="49"/>
  <c r="O27"/>
  <c r="E67"/>
  <c r="E94"/>
  <c r="E106" s="1"/>
  <c r="I199" i="51"/>
  <c r="L199" s="1"/>
  <c r="L200" s="1"/>
  <c r="L202" s="1"/>
  <c r="B18" s="1"/>
  <c r="J62"/>
  <c r="L62" s="1"/>
  <c r="J51"/>
  <c r="J53" s="1"/>
  <c r="I81"/>
  <c r="L81" s="1"/>
  <c r="N81" s="1"/>
  <c r="J32"/>
  <c r="K41"/>
  <c r="L41" s="1"/>
  <c r="E72"/>
  <c r="N19" i="35"/>
  <c r="K100" i="50"/>
  <c r="I63"/>
  <c r="J65"/>
  <c r="J63"/>
  <c r="K92"/>
  <c r="K63"/>
  <c r="J92"/>
  <c r="I92"/>
  <c r="I48"/>
  <c r="J36" i="51"/>
  <c r="K33"/>
  <c r="L33" s="1"/>
  <c r="K36"/>
  <c r="I34"/>
  <c r="I32"/>
  <c r="I29"/>
  <c r="I39"/>
  <c r="L39" s="1"/>
  <c r="J34"/>
  <c r="J39"/>
  <c r="K34"/>
  <c r="K32"/>
  <c r="J29"/>
  <c r="J42" s="1"/>
  <c r="C133"/>
  <c r="E102"/>
  <c r="I74"/>
  <c r="J84"/>
  <c r="O38" i="49"/>
  <c r="E95"/>
  <c r="J74"/>
  <c r="I72"/>
  <c r="E69" i="50"/>
  <c r="E68"/>
  <c r="B68"/>
  <c r="K68" s="1"/>
  <c r="K57" i="49"/>
  <c r="J7"/>
  <c r="C15"/>
  <c r="D15" s="1"/>
  <c r="E15" s="1"/>
  <c r="I36"/>
  <c r="L36" s="1"/>
  <c r="I30"/>
  <c r="J36"/>
  <c r="J39" s="1"/>
  <c r="I31"/>
  <c r="L31" s="1"/>
  <c r="E24"/>
  <c r="N27" s="1"/>
  <c r="J48"/>
  <c r="L48" s="1"/>
  <c r="K25" i="48"/>
  <c r="F77"/>
  <c r="J6" s="1"/>
  <c r="J57" i="49"/>
  <c r="L57" s="1"/>
  <c r="J72"/>
  <c r="E44" i="48"/>
  <c r="E55" s="1"/>
  <c r="J36" i="50"/>
  <c r="J30"/>
  <c r="K38"/>
  <c r="L38" s="1"/>
  <c r="I33"/>
  <c r="I31"/>
  <c r="I29"/>
  <c r="J31"/>
  <c r="K36"/>
  <c r="I32"/>
  <c r="L32" s="1"/>
  <c r="K29"/>
  <c r="I112"/>
  <c r="L112" s="1"/>
  <c r="L115" s="1"/>
  <c r="L117" s="1"/>
  <c r="B14" s="1"/>
  <c r="D14" s="1"/>
  <c r="E14" s="1"/>
  <c r="J29"/>
  <c r="I36"/>
  <c r="K31"/>
  <c r="K26"/>
  <c r="J33"/>
  <c r="J26"/>
  <c r="K33"/>
  <c r="K30"/>
  <c r="I26"/>
  <c r="K77" i="51"/>
  <c r="K85" s="1"/>
  <c r="J9"/>
  <c r="K72" i="49"/>
  <c r="I74"/>
  <c r="L74" s="1"/>
  <c r="N74" s="1"/>
  <c r="L33"/>
  <c r="C7"/>
  <c r="C77"/>
  <c r="I35" i="48"/>
  <c r="I31"/>
  <c r="I29"/>
  <c r="E23"/>
  <c r="J30"/>
  <c r="L30" s="1"/>
  <c r="E146"/>
  <c r="I32"/>
  <c r="K29"/>
  <c r="J35"/>
  <c r="J28"/>
  <c r="K37"/>
  <c r="L37" s="1"/>
  <c r="K31"/>
  <c r="K28"/>
  <c r="J32"/>
  <c r="J25"/>
  <c r="I25"/>
  <c r="K35"/>
  <c r="K30"/>
  <c r="I28"/>
  <c r="J31"/>
  <c r="E56"/>
  <c r="K66" s="1"/>
  <c r="E47"/>
  <c r="I109"/>
  <c r="L109" s="1"/>
  <c r="L112" s="1"/>
  <c r="L114" s="1"/>
  <c r="B14" s="1"/>
  <c r="I125"/>
  <c r="L125" s="1"/>
  <c r="L126" s="1"/>
  <c r="L128" s="1"/>
  <c r="B15" s="1"/>
  <c r="I30" i="50"/>
  <c r="E58"/>
  <c r="E97" i="49"/>
  <c r="I62" i="48"/>
  <c r="I65" i="50"/>
  <c r="K65"/>
  <c r="E88"/>
  <c r="C64" i="48"/>
  <c r="E98" i="50"/>
  <c r="J100"/>
  <c r="I100"/>
  <c r="D14" i="7" l="1"/>
  <c r="E14" s="1"/>
  <c r="K32"/>
  <c r="I28"/>
  <c r="K35"/>
  <c r="I31"/>
  <c r="L31" s="1"/>
  <c r="J28"/>
  <c r="K30"/>
  <c r="I25"/>
  <c r="J32"/>
  <c r="K29"/>
  <c r="L29" s="1"/>
  <c r="E23"/>
  <c r="K38"/>
  <c r="L35"/>
  <c r="L32"/>
  <c r="L28"/>
  <c r="I39" i="13"/>
  <c r="K104" i="15"/>
  <c r="K79"/>
  <c r="L30" i="7"/>
  <c r="J38"/>
  <c r="L32" i="13"/>
  <c r="L26"/>
  <c r="K39" i="8"/>
  <c r="K64" i="7"/>
  <c r="J39" i="15"/>
  <c r="E26"/>
  <c r="K33"/>
  <c r="I183"/>
  <c r="L183" s="1"/>
  <c r="L186" s="1"/>
  <c r="L188" s="1"/>
  <c r="B17" s="1"/>
  <c r="K34"/>
  <c r="K39"/>
  <c r="K36"/>
  <c r="J29"/>
  <c r="I199"/>
  <c r="L199" s="1"/>
  <c r="L200" s="1"/>
  <c r="L202" s="1"/>
  <c r="B18" s="1"/>
  <c r="I34"/>
  <c r="L34" s="1"/>
  <c r="J36"/>
  <c r="L36" s="1"/>
  <c r="K29"/>
  <c r="K42" s="1"/>
  <c r="L33"/>
  <c r="I126"/>
  <c r="J129"/>
  <c r="J138"/>
  <c r="J111"/>
  <c r="L32" i="8"/>
  <c r="K59" i="7"/>
  <c r="I59"/>
  <c r="K39" i="50"/>
  <c r="L31"/>
  <c r="J48"/>
  <c r="L48" s="1"/>
  <c r="L33"/>
  <c r="O33" s="1"/>
  <c r="N30" i="48"/>
  <c r="O30"/>
  <c r="K97" i="8"/>
  <c r="I97"/>
  <c r="J97"/>
  <c r="J7" i="48"/>
  <c r="C14"/>
  <c r="D14" s="1"/>
  <c r="E14" s="1"/>
  <c r="C9"/>
  <c r="C11"/>
  <c r="C7"/>
  <c r="N26" i="13"/>
  <c r="O26"/>
  <c r="N33" i="51"/>
  <c r="O33"/>
  <c r="L60" i="49"/>
  <c r="B12" s="1"/>
  <c r="D12" s="1"/>
  <c r="N57"/>
  <c r="L50"/>
  <c r="B11" s="1"/>
  <c r="D11" s="1"/>
  <c r="N48"/>
  <c r="N62" i="51"/>
  <c r="L65"/>
  <c r="B14" s="1"/>
  <c r="O28" i="7"/>
  <c r="N28"/>
  <c r="N36" i="49"/>
  <c r="O36"/>
  <c r="O30" i="7"/>
  <c r="N30"/>
  <c r="I63" i="13"/>
  <c r="I65"/>
  <c r="J48"/>
  <c r="O38"/>
  <c r="N38"/>
  <c r="I68"/>
  <c r="E77" i="8"/>
  <c r="K77"/>
  <c r="J77"/>
  <c r="B77"/>
  <c r="I77"/>
  <c r="L36"/>
  <c r="I38" i="7"/>
  <c r="L38" s="1"/>
  <c r="L65" i="50"/>
  <c r="N65" s="1"/>
  <c r="J97" i="49"/>
  <c r="K97"/>
  <c r="I97"/>
  <c r="L28" i="48"/>
  <c r="J38"/>
  <c r="N37"/>
  <c r="O37"/>
  <c r="L32"/>
  <c r="L29"/>
  <c r="C12" i="51"/>
  <c r="C11"/>
  <c r="C10"/>
  <c r="J10"/>
  <c r="C17"/>
  <c r="D17" s="1"/>
  <c r="E17" s="1"/>
  <c r="O38" i="50"/>
  <c r="N38"/>
  <c r="J66" i="48"/>
  <c r="O31" i="49"/>
  <c r="N31"/>
  <c r="I68" i="50"/>
  <c r="I85" i="51"/>
  <c r="L85" s="1"/>
  <c r="L74"/>
  <c r="N74" s="1"/>
  <c r="L32"/>
  <c r="L92" i="50"/>
  <c r="C8" i="51"/>
  <c r="K42"/>
  <c r="L79"/>
  <c r="N79" s="1"/>
  <c r="J84" i="15"/>
  <c r="K74"/>
  <c r="K85" s="1"/>
  <c r="K84"/>
  <c r="J74"/>
  <c r="J77"/>
  <c r="I84"/>
  <c r="K77"/>
  <c r="K51"/>
  <c r="K62"/>
  <c r="I74"/>
  <c r="K81"/>
  <c r="I77"/>
  <c r="J81"/>
  <c r="J52"/>
  <c r="I81"/>
  <c r="K52"/>
  <c r="I51"/>
  <c r="I104"/>
  <c r="I107"/>
  <c r="I52"/>
  <c r="L52" s="1"/>
  <c r="N52" s="1"/>
  <c r="J79"/>
  <c r="J51"/>
  <c r="J53" s="1"/>
  <c r="K111"/>
  <c r="K114"/>
  <c r="I79"/>
  <c r="L79" s="1"/>
  <c r="N79" s="1"/>
  <c r="L35"/>
  <c r="I114"/>
  <c r="K133"/>
  <c r="J114"/>
  <c r="I111"/>
  <c r="L111" s="1"/>
  <c r="K109"/>
  <c r="D18"/>
  <c r="E18" s="1"/>
  <c r="J65" i="13"/>
  <c r="D15"/>
  <c r="E15" s="1"/>
  <c r="J39" i="8"/>
  <c r="L115" i="13"/>
  <c r="L117" s="1"/>
  <c r="B14" s="1"/>
  <c r="L31" i="8"/>
  <c r="K68" i="13"/>
  <c r="J59" i="7"/>
  <c r="K66"/>
  <c r="J66"/>
  <c r="I57" i="8"/>
  <c r="D15" i="48"/>
  <c r="E15" s="1"/>
  <c r="L72" i="49"/>
  <c r="N72" s="1"/>
  <c r="I42" i="51"/>
  <c r="L42" s="1"/>
  <c r="L29"/>
  <c r="N32" i="49"/>
  <c r="L32" i="15"/>
  <c r="N41"/>
  <c r="O41"/>
  <c r="R71" i="6"/>
  <c r="D56"/>
  <c r="E56"/>
  <c r="C56"/>
  <c r="K39" i="13"/>
  <c r="N32" i="7"/>
  <c r="O32"/>
  <c r="L100" i="50"/>
  <c r="K64" i="48"/>
  <c r="J64"/>
  <c r="I64"/>
  <c r="L64" s="1"/>
  <c r="I47"/>
  <c r="K47"/>
  <c r="J47"/>
  <c r="L31"/>
  <c r="O33" i="49"/>
  <c r="N33"/>
  <c r="J39" i="50"/>
  <c r="L36"/>
  <c r="L29"/>
  <c r="K38" i="48"/>
  <c r="J68" i="50"/>
  <c r="J70" s="1"/>
  <c r="K109" i="49"/>
  <c r="E107"/>
  <c r="K101"/>
  <c r="I109"/>
  <c r="L109" s="1"/>
  <c r="I101"/>
  <c r="L101" s="1"/>
  <c r="J101"/>
  <c r="J109"/>
  <c r="N38"/>
  <c r="J104" i="51"/>
  <c r="K104"/>
  <c r="I107"/>
  <c r="I114"/>
  <c r="L114" s="1"/>
  <c r="N114" s="1"/>
  <c r="J107"/>
  <c r="K107"/>
  <c r="K114"/>
  <c r="I104"/>
  <c r="E123"/>
  <c r="J114"/>
  <c r="J111"/>
  <c r="K111"/>
  <c r="J109"/>
  <c r="I109"/>
  <c r="L34"/>
  <c r="O41"/>
  <c r="N41"/>
  <c r="I111"/>
  <c r="L84"/>
  <c r="N84" s="1"/>
  <c r="I53"/>
  <c r="L53" s="1"/>
  <c r="L51"/>
  <c r="N51" s="1"/>
  <c r="L35"/>
  <c r="I42" i="15"/>
  <c r="L29"/>
  <c r="J133"/>
  <c r="J107"/>
  <c r="E157"/>
  <c r="J140"/>
  <c r="J137"/>
  <c r="K140"/>
  <c r="I136"/>
  <c r="J136"/>
  <c r="I129"/>
  <c r="I140"/>
  <c r="L140" s="1"/>
  <c r="I137"/>
  <c r="J139"/>
  <c r="K126"/>
  <c r="K139"/>
  <c r="K136"/>
  <c r="J126"/>
  <c r="I139"/>
  <c r="K137"/>
  <c r="K129"/>
  <c r="J109"/>
  <c r="I48" i="13"/>
  <c r="I138" i="15"/>
  <c r="K63" i="13"/>
  <c r="K70" s="1"/>
  <c r="J100"/>
  <c r="E98"/>
  <c r="J92"/>
  <c r="I100"/>
  <c r="K100"/>
  <c r="K92"/>
  <c r="E88"/>
  <c r="I92"/>
  <c r="N35" i="7"/>
  <c r="O35"/>
  <c r="L55" i="43"/>
  <c r="AE50"/>
  <c r="L49" i="44"/>
  <c r="AE44"/>
  <c r="O32" i="13"/>
  <c r="N32"/>
  <c r="L36"/>
  <c r="L29"/>
  <c r="L33"/>
  <c r="L31"/>
  <c r="I39" i="8"/>
  <c r="L39" s="1"/>
  <c r="L27"/>
  <c r="E107"/>
  <c r="K101"/>
  <c r="J101"/>
  <c r="I101"/>
  <c r="K109"/>
  <c r="I109"/>
  <c r="J109"/>
  <c r="D16"/>
  <c r="E16" s="1"/>
  <c r="L30"/>
  <c r="D15"/>
  <c r="E15" s="1"/>
  <c r="L25" i="7"/>
  <c r="I62"/>
  <c r="K62"/>
  <c r="K67" s="1"/>
  <c r="J64"/>
  <c r="L64" s="1"/>
  <c r="N64" s="1"/>
  <c r="L25" i="48"/>
  <c r="I38"/>
  <c r="L38" s="1"/>
  <c r="K77" i="49"/>
  <c r="K79" s="1"/>
  <c r="E78"/>
  <c r="E77"/>
  <c r="B77"/>
  <c r="I77"/>
  <c r="L77" s="1"/>
  <c r="N77" s="1"/>
  <c r="J77"/>
  <c r="J79" s="1"/>
  <c r="E57" i="48"/>
  <c r="E82"/>
  <c r="E94" s="1"/>
  <c r="N36" i="51"/>
  <c r="O36"/>
  <c r="AA46" i="36"/>
  <c r="Z46"/>
  <c r="AD46" s="1"/>
  <c r="AE46" s="1"/>
  <c r="E122" i="15"/>
  <c r="E103"/>
  <c r="L49" i="36"/>
  <c r="L52" s="1"/>
  <c r="C48" s="1"/>
  <c r="AE45"/>
  <c r="L109" i="15"/>
  <c r="N109" s="1"/>
  <c r="J88" i="50"/>
  <c r="K88"/>
  <c r="I88"/>
  <c r="L30"/>
  <c r="E83" i="48"/>
  <c r="J59"/>
  <c r="K59"/>
  <c r="I59"/>
  <c r="J62"/>
  <c r="L62" s="1"/>
  <c r="N62" s="1"/>
  <c r="K62"/>
  <c r="L35"/>
  <c r="I39" i="50"/>
  <c r="L39" s="1"/>
  <c r="L26"/>
  <c r="O32"/>
  <c r="N32"/>
  <c r="O31"/>
  <c r="N31"/>
  <c r="I66" i="48"/>
  <c r="L66" s="1"/>
  <c r="N66" s="1"/>
  <c r="L30" i="49"/>
  <c r="I39"/>
  <c r="L39" s="1"/>
  <c r="N39" i="51"/>
  <c r="O39"/>
  <c r="K70" i="50"/>
  <c r="I70"/>
  <c r="L63"/>
  <c r="N63" s="1"/>
  <c r="D18" i="51"/>
  <c r="E18" s="1"/>
  <c r="C14"/>
  <c r="D14" s="1"/>
  <c r="K109"/>
  <c r="L77"/>
  <c r="N77" s="1"/>
  <c r="O33" i="15"/>
  <c r="N33"/>
  <c r="L126"/>
  <c r="AA47" i="36"/>
  <c r="Z47"/>
  <c r="AD47" s="1"/>
  <c r="AE47" s="1"/>
  <c r="I131" i="15"/>
  <c r="J131"/>
  <c r="K131"/>
  <c r="J62"/>
  <c r="AA50" i="36"/>
  <c r="Z50"/>
  <c r="AD50" s="1"/>
  <c r="AE50" s="1"/>
  <c r="K138" i="15"/>
  <c r="I62"/>
  <c r="L62" s="1"/>
  <c r="J104"/>
  <c r="J115" s="1"/>
  <c r="K107"/>
  <c r="K115" s="1"/>
  <c r="D17"/>
  <c r="E17" s="1"/>
  <c r="I133"/>
  <c r="L133" s="1"/>
  <c r="J63" i="13"/>
  <c r="C14"/>
  <c r="D14" s="1"/>
  <c r="E14" s="1"/>
  <c r="C11"/>
  <c r="C9"/>
  <c r="J7"/>
  <c r="C7"/>
  <c r="K48"/>
  <c r="L54" i="43"/>
  <c r="L59" s="1"/>
  <c r="L48" i="44"/>
  <c r="L53" s="1"/>
  <c r="L30" i="13"/>
  <c r="J39"/>
  <c r="L39" s="1"/>
  <c r="I47" i="7"/>
  <c r="K47"/>
  <c r="J47"/>
  <c r="J68" i="13"/>
  <c r="J74" i="8"/>
  <c r="J79" s="1"/>
  <c r="I74"/>
  <c r="K74"/>
  <c r="L33"/>
  <c r="N37" i="7"/>
  <c r="O37"/>
  <c r="O32" i="8"/>
  <c r="N32"/>
  <c r="J57"/>
  <c r="I48"/>
  <c r="K48"/>
  <c r="I72"/>
  <c r="K57"/>
  <c r="J48"/>
  <c r="I85" i="7"/>
  <c r="J85"/>
  <c r="K85"/>
  <c r="I66"/>
  <c r="L66" s="1"/>
  <c r="N66" s="1"/>
  <c r="K72" i="8"/>
  <c r="I89" i="7"/>
  <c r="J97"/>
  <c r="K97"/>
  <c r="K89"/>
  <c r="E95"/>
  <c r="J89"/>
  <c r="I97"/>
  <c r="L58" i="43" l="1"/>
  <c r="C54" s="1"/>
  <c r="C62" s="1"/>
  <c r="O29" i="7"/>
  <c r="N29"/>
  <c r="O31"/>
  <c r="N31"/>
  <c r="J42" i="15"/>
  <c r="L39"/>
  <c r="O36"/>
  <c r="N36"/>
  <c r="N39"/>
  <c r="O39"/>
  <c r="O34"/>
  <c r="N34"/>
  <c r="L131"/>
  <c r="L62" i="7"/>
  <c r="N62" s="1"/>
  <c r="L101" i="8"/>
  <c r="L100" i="13"/>
  <c r="L139" i="15"/>
  <c r="L129"/>
  <c r="L42"/>
  <c r="L85" i="7"/>
  <c r="N85" s="1"/>
  <c r="N48" i="50"/>
  <c r="L51"/>
  <c r="B11" s="1"/>
  <c r="D11" s="1"/>
  <c r="N33"/>
  <c r="O39" i="13"/>
  <c r="L41"/>
  <c r="N39"/>
  <c r="E62" i="43"/>
  <c r="R77"/>
  <c r="L65" i="15"/>
  <c r="B14" s="1"/>
  <c r="D14" s="1"/>
  <c r="N62"/>
  <c r="I141"/>
  <c r="J67" i="48"/>
  <c r="O25" i="7"/>
  <c r="N25"/>
  <c r="N33" i="13"/>
  <c r="O33"/>
  <c r="J88"/>
  <c r="K88"/>
  <c r="I88"/>
  <c r="L138" i="15"/>
  <c r="O29"/>
  <c r="N29"/>
  <c r="N53" i="51"/>
  <c r="L55"/>
  <c r="B8" s="1"/>
  <c r="I137"/>
  <c r="K138"/>
  <c r="K137"/>
  <c r="J139"/>
  <c r="J138"/>
  <c r="I129"/>
  <c r="J137"/>
  <c r="K140"/>
  <c r="J136"/>
  <c r="E157"/>
  <c r="K136"/>
  <c r="I140"/>
  <c r="J140"/>
  <c r="I126"/>
  <c r="K131"/>
  <c r="K139"/>
  <c r="J129"/>
  <c r="J131"/>
  <c r="K126"/>
  <c r="I131"/>
  <c r="L131" s="1"/>
  <c r="N131" s="1"/>
  <c r="I136"/>
  <c r="L136" s="1"/>
  <c r="N136" s="1"/>
  <c r="I139"/>
  <c r="L139" s="1"/>
  <c r="N139" s="1"/>
  <c r="K129"/>
  <c r="J126"/>
  <c r="I138"/>
  <c r="L138" s="1"/>
  <c r="N138" s="1"/>
  <c r="J115"/>
  <c r="N101" i="49"/>
  <c r="O36" i="50"/>
  <c r="N36"/>
  <c r="N31" i="48"/>
  <c r="O31"/>
  <c r="N64"/>
  <c r="E64" i="6"/>
  <c r="H56"/>
  <c r="H64" s="1"/>
  <c r="O42" i="51"/>
  <c r="N42"/>
  <c r="L44"/>
  <c r="J67" i="7"/>
  <c r="I53" i="15"/>
  <c r="L53" s="1"/>
  <c r="L51"/>
  <c r="N51" s="1"/>
  <c r="J133" i="51"/>
  <c r="L68" i="50"/>
  <c r="N68" s="1"/>
  <c r="I67" i="7"/>
  <c r="L67" s="1"/>
  <c r="I70" i="13"/>
  <c r="L63"/>
  <c r="N63" s="1"/>
  <c r="L97" i="8"/>
  <c r="N97" s="1"/>
  <c r="O30" i="13"/>
  <c r="N30"/>
  <c r="L48" i="8"/>
  <c r="L74"/>
  <c r="N74" s="1"/>
  <c r="L70" i="50"/>
  <c r="O26"/>
  <c r="N26"/>
  <c r="R71" i="36"/>
  <c r="D56"/>
  <c r="C56"/>
  <c r="E56"/>
  <c r="N101" i="8"/>
  <c r="L102"/>
  <c r="N27"/>
  <c r="O27"/>
  <c r="N29" i="13"/>
  <c r="O29"/>
  <c r="L48"/>
  <c r="K141" i="15"/>
  <c r="L44"/>
  <c r="N42"/>
  <c r="O42"/>
  <c r="I115" i="51"/>
  <c r="L104"/>
  <c r="N104" s="1"/>
  <c r="N109" i="49"/>
  <c r="L110"/>
  <c r="B14" s="1"/>
  <c r="D14" s="1"/>
  <c r="G56" i="6"/>
  <c r="G64" s="1"/>
  <c r="D64"/>
  <c r="O32" i="15"/>
  <c r="N32"/>
  <c r="L57" i="8"/>
  <c r="N31"/>
  <c r="O31"/>
  <c r="N111" i="15"/>
  <c r="L77"/>
  <c r="N77" s="1"/>
  <c r="K53"/>
  <c r="J85"/>
  <c r="N92" i="50"/>
  <c r="K133" i="51"/>
  <c r="O29" i="48"/>
  <c r="N29"/>
  <c r="L77" i="8"/>
  <c r="N77" s="1"/>
  <c r="L89" i="7"/>
  <c r="I97" i="48"/>
  <c r="I89"/>
  <c r="E95"/>
  <c r="J97"/>
  <c r="K97"/>
  <c r="J89"/>
  <c r="K89"/>
  <c r="E85"/>
  <c r="K79" i="8"/>
  <c r="L47" i="7"/>
  <c r="L52" i="44"/>
  <c r="C48" s="1"/>
  <c r="O39" i="49"/>
  <c r="N39"/>
  <c r="L41"/>
  <c r="L41" i="50"/>
  <c r="N39"/>
  <c r="O39"/>
  <c r="L59" i="48"/>
  <c r="N59" s="1"/>
  <c r="I67"/>
  <c r="O30" i="50"/>
  <c r="N30"/>
  <c r="L40" i="48"/>
  <c r="N38"/>
  <c r="O38"/>
  <c r="L41" i="8"/>
  <c r="O39"/>
  <c r="N39"/>
  <c r="O36" i="13"/>
  <c r="N36"/>
  <c r="J141" i="15"/>
  <c r="O35" i="51"/>
  <c r="N35"/>
  <c r="O34"/>
  <c r="N34"/>
  <c r="L107"/>
  <c r="N107" s="1"/>
  <c r="R74" i="6"/>
  <c r="C72" s="1"/>
  <c r="C80" s="1"/>
  <c r="F80" s="1"/>
  <c r="S74"/>
  <c r="D72" s="1"/>
  <c r="D80" s="1"/>
  <c r="G80" s="1"/>
  <c r="T74"/>
  <c r="E72" s="1"/>
  <c r="E80" s="1"/>
  <c r="H80" s="1"/>
  <c r="I79" i="49"/>
  <c r="L79" s="1"/>
  <c r="L114" i="15"/>
  <c r="N114" s="1"/>
  <c r="L107"/>
  <c r="N107" s="1"/>
  <c r="L81"/>
  <c r="N81" s="1"/>
  <c r="N32" i="51"/>
  <c r="O32"/>
  <c r="N32" i="48"/>
  <c r="O32"/>
  <c r="N28"/>
  <c r="O28"/>
  <c r="O38" i="7"/>
  <c r="L40"/>
  <c r="N38"/>
  <c r="O36" i="8"/>
  <c r="N36"/>
  <c r="L97" i="7"/>
  <c r="L72" i="8"/>
  <c r="N72" s="1"/>
  <c r="I79"/>
  <c r="O33"/>
  <c r="N33"/>
  <c r="J70" i="13"/>
  <c r="N30" i="49"/>
  <c r="O30"/>
  <c r="N35" i="48"/>
  <c r="O35"/>
  <c r="K67"/>
  <c r="L88" i="50"/>
  <c r="N88" s="1"/>
  <c r="E156" i="15"/>
  <c r="E168" s="1"/>
  <c r="E124"/>
  <c r="N140" s="1"/>
  <c r="N25" i="48"/>
  <c r="O25"/>
  <c r="O30" i="8"/>
  <c r="N30"/>
  <c r="L109"/>
  <c r="O31" i="13"/>
  <c r="N31"/>
  <c r="L92"/>
  <c r="L101"/>
  <c r="B13" s="1"/>
  <c r="D13" s="1"/>
  <c r="N100"/>
  <c r="L137" i="15"/>
  <c r="L136"/>
  <c r="N136" s="1"/>
  <c r="E169"/>
  <c r="I171"/>
  <c r="I163"/>
  <c r="J171"/>
  <c r="K163"/>
  <c r="E159"/>
  <c r="K171"/>
  <c r="J163"/>
  <c r="L111" i="51"/>
  <c r="N111" s="1"/>
  <c r="L109"/>
  <c r="N109" s="1"/>
  <c r="K115"/>
  <c r="O29" i="50"/>
  <c r="N29"/>
  <c r="L47" i="48"/>
  <c r="L101" i="50"/>
  <c r="B13" s="1"/>
  <c r="D13" s="1"/>
  <c r="N100"/>
  <c r="C64" i="6"/>
  <c r="C87" s="1"/>
  <c r="F56"/>
  <c r="F64" s="1"/>
  <c r="O29" i="51"/>
  <c r="N29"/>
  <c r="O35" i="15"/>
  <c r="N35"/>
  <c r="I115"/>
  <c r="L115" s="1"/>
  <c r="L104"/>
  <c r="N104" s="1"/>
  <c r="L74"/>
  <c r="N74" s="1"/>
  <c r="I85"/>
  <c r="L85" s="1"/>
  <c r="L84"/>
  <c r="N84" s="1"/>
  <c r="D8" i="51"/>
  <c r="I133"/>
  <c r="L133" s="1"/>
  <c r="N133" s="1"/>
  <c r="N85"/>
  <c r="L87"/>
  <c r="L97" i="49"/>
  <c r="N97" s="1"/>
  <c r="L59" i="7"/>
  <c r="N59" s="1"/>
  <c r="L68" i="13"/>
  <c r="N68" s="1"/>
  <c r="L65"/>
  <c r="N65" s="1"/>
  <c r="N126" i="15" l="1"/>
  <c r="N137"/>
  <c r="B10" i="51"/>
  <c r="D10" s="1"/>
  <c r="N87"/>
  <c r="N115" i="15"/>
  <c r="L117"/>
  <c r="B11" s="1"/>
  <c r="D11" s="1"/>
  <c r="F87" i="6"/>
  <c r="F91" s="1"/>
  <c r="C88"/>
  <c r="N109" i="8"/>
  <c r="L110"/>
  <c r="B14" s="1"/>
  <c r="D14" s="1"/>
  <c r="L87" i="15"/>
  <c r="N85"/>
  <c r="N92" i="13"/>
  <c r="B7" i="7"/>
  <c r="L81" i="49"/>
  <c r="B9" s="1"/>
  <c r="D9" s="1"/>
  <c r="E8" s="1"/>
  <c r="N79"/>
  <c r="L67" i="48"/>
  <c r="B7" i="50"/>
  <c r="I85" i="48"/>
  <c r="J85"/>
  <c r="K85"/>
  <c r="L60" i="8"/>
  <c r="B12" s="1"/>
  <c r="D12" s="1"/>
  <c r="N57"/>
  <c r="L115" i="51"/>
  <c r="N129" i="15"/>
  <c r="B13" i="8"/>
  <c r="D13" s="1"/>
  <c r="N102"/>
  <c r="F56" i="36"/>
  <c r="F64" s="1"/>
  <c r="C64"/>
  <c r="L50" i="8"/>
  <c r="B11" s="1"/>
  <c r="D11" s="1"/>
  <c r="E10" s="1"/>
  <c r="N48"/>
  <c r="L70" i="13"/>
  <c r="B7" i="51"/>
  <c r="L90"/>
  <c r="I92" s="1"/>
  <c r="E87" i="6"/>
  <c r="L126" i="51"/>
  <c r="N126" s="1"/>
  <c r="I141"/>
  <c r="I171"/>
  <c r="L171" s="1"/>
  <c r="J163"/>
  <c r="E169"/>
  <c r="J171"/>
  <c r="I163"/>
  <c r="E159"/>
  <c r="K163"/>
  <c r="K171"/>
  <c r="L129"/>
  <c r="N129" s="1"/>
  <c r="L88" i="13"/>
  <c r="N88" s="1"/>
  <c r="L141" i="15"/>
  <c r="N133"/>
  <c r="F62" i="43"/>
  <c r="F70" s="1"/>
  <c r="C70"/>
  <c r="L163" i="15"/>
  <c r="L79" i="8"/>
  <c r="B7" i="48"/>
  <c r="B7" i="49"/>
  <c r="L84"/>
  <c r="I86" s="1"/>
  <c r="C56" i="44"/>
  <c r="E56"/>
  <c r="R71"/>
  <c r="D56"/>
  <c r="N89" i="7"/>
  <c r="L90"/>
  <c r="L93" i="50"/>
  <c r="G56" i="36"/>
  <c r="G64" s="1"/>
  <c r="D64"/>
  <c r="D87" s="1"/>
  <c r="L72" i="50"/>
  <c r="B9" s="1"/>
  <c r="D9" s="1"/>
  <c r="E8" s="1"/>
  <c r="N70"/>
  <c r="L69" i="7"/>
  <c r="B9" s="1"/>
  <c r="D9" s="1"/>
  <c r="E8" s="1"/>
  <c r="N67"/>
  <c r="N53" i="15"/>
  <c r="L55"/>
  <c r="B8" s="1"/>
  <c r="D8" s="1"/>
  <c r="L137" i="51"/>
  <c r="N137" s="1"/>
  <c r="N131" i="15"/>
  <c r="D70" i="43"/>
  <c r="G62"/>
  <c r="G70" s="1"/>
  <c r="L50" i="48"/>
  <c r="B11" s="1"/>
  <c r="D11" s="1"/>
  <c r="N47"/>
  <c r="J159" i="15"/>
  <c r="K159"/>
  <c r="I159"/>
  <c r="L159" s="1"/>
  <c r="N159" s="1"/>
  <c r="L171"/>
  <c r="B7" i="8"/>
  <c r="N47" i="7"/>
  <c r="L50"/>
  <c r="B11" s="1"/>
  <c r="D11" s="1"/>
  <c r="L89" i="48"/>
  <c r="N139" i="15"/>
  <c r="R74" i="36"/>
  <c r="C72" s="1"/>
  <c r="C80" s="1"/>
  <c r="F80" s="1"/>
  <c r="S74"/>
  <c r="D72" s="1"/>
  <c r="D80" s="1"/>
  <c r="G80" s="1"/>
  <c r="T74"/>
  <c r="E72" s="1"/>
  <c r="E80" s="1"/>
  <c r="H80" s="1"/>
  <c r="J141" i="51"/>
  <c r="L140"/>
  <c r="N140" s="1"/>
  <c r="R80" i="43"/>
  <c r="C86" s="1"/>
  <c r="F86" s="1"/>
  <c r="T80"/>
  <c r="E86" s="1"/>
  <c r="H86" s="1"/>
  <c r="S80"/>
  <c r="D86" s="1"/>
  <c r="G86" s="1"/>
  <c r="B7" i="13"/>
  <c r="N97" i="7"/>
  <c r="L98"/>
  <c r="B13" s="1"/>
  <c r="D13" s="1"/>
  <c r="L97" i="48"/>
  <c r="D87" i="6"/>
  <c r="L90" i="15"/>
  <c r="I92" s="1"/>
  <c r="B7"/>
  <c r="L51" i="13"/>
  <c r="B11" s="1"/>
  <c r="D11" s="1"/>
  <c r="N48"/>
  <c r="H56" i="36"/>
  <c r="H64" s="1"/>
  <c r="E64"/>
  <c r="L102" i="49"/>
  <c r="L161" s="1"/>
  <c r="K141" i="51"/>
  <c r="N138" i="15"/>
  <c r="H62" i="43"/>
  <c r="H70" s="1"/>
  <c r="E70"/>
  <c r="E93" s="1"/>
  <c r="F93" l="1"/>
  <c r="F97" s="1"/>
  <c r="D7" i="13"/>
  <c r="E6" s="1"/>
  <c r="N171" i="15"/>
  <c r="L172"/>
  <c r="B16" s="1"/>
  <c r="D16" s="1"/>
  <c r="D88" i="36"/>
  <c r="G87"/>
  <c r="F56" i="44"/>
  <c r="F64" s="1"/>
  <c r="C64"/>
  <c r="D7" i="48"/>
  <c r="E6" s="1"/>
  <c r="N163" i="15"/>
  <c r="L164"/>
  <c r="L143"/>
  <c r="N141"/>
  <c r="C87" i="36"/>
  <c r="L75" i="50"/>
  <c r="I77" s="1"/>
  <c r="L93" i="13"/>
  <c r="E94" i="43"/>
  <c r="H93"/>
  <c r="I94" i="15"/>
  <c r="I93"/>
  <c r="L96" s="1"/>
  <c r="D7" i="8"/>
  <c r="E6" s="1"/>
  <c r="D64" i="44"/>
  <c r="G56"/>
  <c r="G64" s="1"/>
  <c r="I159" i="51"/>
  <c r="J159"/>
  <c r="K159"/>
  <c r="H87" i="6"/>
  <c r="E88"/>
  <c r="N70" i="13"/>
  <c r="L72"/>
  <c r="B9" s="1"/>
  <c r="D9" s="1"/>
  <c r="E8" s="1"/>
  <c r="N115" i="51"/>
  <c r="L117"/>
  <c r="D7" i="50"/>
  <c r="E6" s="1"/>
  <c r="L149" i="7"/>
  <c r="B12" i="50"/>
  <c r="D12" s="1"/>
  <c r="E10" s="1"/>
  <c r="N93"/>
  <c r="R74" i="44"/>
  <c r="C72" s="1"/>
  <c r="C80" s="1"/>
  <c r="F80" s="1"/>
  <c r="T74"/>
  <c r="E72" s="1"/>
  <c r="E80" s="1"/>
  <c r="H80" s="1"/>
  <c r="S74"/>
  <c r="D72" s="1"/>
  <c r="D80" s="1"/>
  <c r="G80" s="1"/>
  <c r="I87" i="49"/>
  <c r="L90" s="1"/>
  <c r="I88"/>
  <c r="L163" i="51"/>
  <c r="L172"/>
  <c r="B16" s="1"/>
  <c r="D16" s="1"/>
  <c r="N171"/>
  <c r="I94"/>
  <c r="I93"/>
  <c r="L96" s="1"/>
  <c r="L85" i="48"/>
  <c r="N85" s="1"/>
  <c r="N67"/>
  <c r="L69"/>
  <c r="B9" s="1"/>
  <c r="D9" s="1"/>
  <c r="E8" s="1"/>
  <c r="D7" i="7"/>
  <c r="E6" s="1"/>
  <c r="C89" i="6"/>
  <c r="F89" s="1"/>
  <c r="F88"/>
  <c r="B13" i="49"/>
  <c r="D13" s="1"/>
  <c r="E10" s="1"/>
  <c r="N102"/>
  <c r="G87" i="6"/>
  <c r="D88"/>
  <c r="N89" i="48"/>
  <c r="E87" i="36"/>
  <c r="D7" i="15"/>
  <c r="E6" s="1"/>
  <c r="L98" i="48"/>
  <c r="B13" s="1"/>
  <c r="D13" s="1"/>
  <c r="N97"/>
  <c r="D93" i="43"/>
  <c r="B12" i="7"/>
  <c r="D12" s="1"/>
  <c r="E10" s="1"/>
  <c r="N90"/>
  <c r="H56" i="44"/>
  <c r="H64" s="1"/>
  <c r="E64"/>
  <c r="E87" s="1"/>
  <c r="B17" i="49"/>
  <c r="D7"/>
  <c r="E6" s="1"/>
  <c r="E17" s="1"/>
  <c r="N8" s="1"/>
  <c r="N79" i="8"/>
  <c r="L81"/>
  <c r="L141" i="51"/>
  <c r="D7"/>
  <c r="E6" s="1"/>
  <c r="L152" i="50"/>
  <c r="L72" i="7"/>
  <c r="I74" s="1"/>
  <c r="B10" i="15"/>
  <c r="D10" s="1"/>
  <c r="N87"/>
  <c r="B16" i="50" l="1"/>
  <c r="E16"/>
  <c r="N8" s="1"/>
  <c r="C94" i="43"/>
  <c r="I79" i="50"/>
  <c r="I78"/>
  <c r="L81" s="1"/>
  <c r="B15" i="15"/>
  <c r="D15" s="1"/>
  <c r="E13" s="1"/>
  <c r="N164"/>
  <c r="C87" i="44"/>
  <c r="F87" i="36"/>
  <c r="F91" s="1"/>
  <c r="C88"/>
  <c r="E16" i="7"/>
  <c r="N8" s="1"/>
  <c r="L162" i="49"/>
  <c r="L164" s="1"/>
  <c r="N90"/>
  <c r="L155"/>
  <c r="I76" i="7"/>
  <c r="I75"/>
  <c r="L78" s="1"/>
  <c r="L159" i="51"/>
  <c r="N159" s="1"/>
  <c r="E95" i="43"/>
  <c r="H95" s="1"/>
  <c r="H94"/>
  <c r="L75" i="13"/>
  <c r="I77" s="1"/>
  <c r="L152"/>
  <c r="N141" i="51"/>
  <c r="L143"/>
  <c r="B12" s="1"/>
  <c r="D12" s="1"/>
  <c r="E88" i="36"/>
  <c r="H87"/>
  <c r="G88" i="6"/>
  <c r="D89"/>
  <c r="G89" s="1"/>
  <c r="B16" i="7"/>
  <c r="L146" i="51"/>
  <c r="I148" s="1"/>
  <c r="N96"/>
  <c r="N163"/>
  <c r="L164"/>
  <c r="L217" s="1"/>
  <c r="B11"/>
  <c r="E89" i="6"/>
  <c r="H89" s="1"/>
  <c r="H88"/>
  <c r="B9" i="8"/>
  <c r="L161"/>
  <c r="L84"/>
  <c r="I86" s="1"/>
  <c r="E88" i="44"/>
  <c r="H87"/>
  <c r="G93" i="43"/>
  <c r="D94"/>
  <c r="L90" i="48"/>
  <c r="L72"/>
  <c r="I74" s="1"/>
  <c r="C95" i="43"/>
  <c r="F95" s="1"/>
  <c r="F94"/>
  <c r="D87" i="44"/>
  <c r="L217" i="15"/>
  <c r="N96"/>
  <c r="L146"/>
  <c r="I148" s="1"/>
  <c r="N93" i="13"/>
  <c r="B12"/>
  <c r="D12" s="1"/>
  <c r="E10" s="1"/>
  <c r="E16" s="1"/>
  <c r="N8" s="1"/>
  <c r="B12" i="15"/>
  <c r="D12" s="1"/>
  <c r="E9" s="1"/>
  <c r="E19" s="1"/>
  <c r="N8" s="1"/>
  <c r="L223"/>
  <c r="G88" i="36"/>
  <c r="D89"/>
  <c r="G89" s="1"/>
  <c r="B16" i="13"/>
  <c r="I150" i="15" l="1"/>
  <c r="I149"/>
  <c r="L152" s="1"/>
  <c r="C89" i="36"/>
  <c r="F89" s="1"/>
  <c r="F88"/>
  <c r="D95" i="43"/>
  <c r="G95" s="1"/>
  <c r="G94"/>
  <c r="I87" i="8"/>
  <c r="L90" s="1"/>
  <c r="I88"/>
  <c r="L223" i="51"/>
  <c r="I76" i="48"/>
  <c r="I75"/>
  <c r="L78" s="1"/>
  <c r="D9" i="8"/>
  <c r="E8" s="1"/>
  <c r="E17" s="1"/>
  <c r="N8" s="1"/>
  <c r="B17"/>
  <c r="D11" i="51"/>
  <c r="E9" s="1"/>
  <c r="B19"/>
  <c r="B19" i="15"/>
  <c r="G87" i="44"/>
  <c r="D88"/>
  <c r="N90" i="48"/>
  <c r="B12"/>
  <c r="E89" i="44"/>
  <c r="H89" s="1"/>
  <c r="H88"/>
  <c r="N164" i="51"/>
  <c r="B15"/>
  <c r="D15" s="1"/>
  <c r="E13" s="1"/>
  <c r="I149"/>
  <c r="L152" s="1"/>
  <c r="I150"/>
  <c r="L149" i="48"/>
  <c r="N81" i="50"/>
  <c r="L153"/>
  <c r="L155" s="1"/>
  <c r="L146"/>
  <c r="H88" i="36"/>
  <c r="E89"/>
  <c r="H89" s="1"/>
  <c r="I78" i="13"/>
  <c r="L81" s="1"/>
  <c r="I79"/>
  <c r="L143" i="7"/>
  <c r="L150"/>
  <c r="L152" s="1"/>
  <c r="N78"/>
  <c r="F87" i="44"/>
  <c r="F91" s="1"/>
  <c r="C88"/>
  <c r="D12" i="48" l="1"/>
  <c r="E10" s="1"/>
  <c r="E16" s="1"/>
  <c r="N8" s="1"/>
  <c r="B16"/>
  <c r="L150"/>
  <c r="L152" s="1"/>
  <c r="N78"/>
  <c r="L143"/>
  <c r="L162" i="8"/>
  <c r="L164" s="1"/>
  <c r="N90"/>
  <c r="L155"/>
  <c r="C89" i="44"/>
  <c r="F89" s="1"/>
  <c r="F88"/>
  <c r="D89"/>
  <c r="G89" s="1"/>
  <c r="G88"/>
  <c r="E19" i="51"/>
  <c r="N8" s="1"/>
  <c r="L224" i="15"/>
  <c r="L226" s="1"/>
  <c r="N152"/>
  <c r="L146" i="13"/>
  <c r="N81"/>
  <c r="L153"/>
  <c r="L155" s="1"/>
  <c r="N152" i="51"/>
  <c r="L224"/>
  <c r="L226" s="1"/>
</calcChain>
</file>

<file path=xl/comments1.xml><?xml version="1.0" encoding="utf-8"?>
<comments xmlns="http://schemas.openxmlformats.org/spreadsheetml/2006/main">
  <authors>
    <author>neeft</author>
  </authors>
  <commentList>
    <comment ref="D35" authorId="0">
      <text>
        <r>
          <rPr>
            <sz val="8"/>
            <color indexed="81"/>
            <rFont val="Tahoma"/>
            <charset val="204"/>
          </rPr>
          <t>Приклад 1: Теплий помірно-вологий
Приклад 2: Тропічна вологість</t>
        </r>
      </text>
    </comment>
    <comment ref="D36" authorId="0">
      <text>
        <r>
          <rPr>
            <sz val="8"/>
            <color indexed="81"/>
            <rFont val="Tahoma"/>
            <charset val="204"/>
          </rPr>
          <t>Приклад 1: Культивовані / орні землі
Приклад 2: Пальмова олія / багаторічні</t>
        </r>
      </text>
    </comment>
    <comment ref="H36" authorId="0">
      <text>
        <r>
          <rPr>
            <sz val="8"/>
            <color indexed="81"/>
            <rFont val="Tahoma"/>
            <charset val="204"/>
          </rPr>
          <t xml:space="preserve">Приклад 1: Ліс (&gt;30% пологість)
Приклад 2: Пасовища / савани
</t>
        </r>
      </text>
    </comment>
    <comment ref="D39" authorId="0">
      <text>
        <r>
          <rPr>
            <sz val="8"/>
            <color indexed="81"/>
            <rFont val="Tahoma"/>
            <charset val="204"/>
          </rPr>
          <t>Приклад 1: Немає значення
Приклад 2: Немає значення</t>
        </r>
      </text>
    </comment>
    <comment ref="H39" authorId="0">
      <text>
        <r>
          <rPr>
            <sz val="8"/>
            <color indexed="81"/>
            <rFont val="Tahoma"/>
            <charset val="204"/>
          </rPr>
          <t>Приклад 1: Океанічних ліс
Приклад 2: Немає значення</t>
        </r>
      </text>
    </comment>
    <comment ref="D40" authorId="0">
      <text>
        <r>
          <rPr>
            <sz val="8"/>
            <color indexed="81"/>
            <rFont val="Tahoma"/>
            <charset val="204"/>
          </rPr>
          <t>Example 1: Немає значення
Example 2: Немає значення</t>
        </r>
      </text>
    </comment>
    <comment ref="H40" authorId="0">
      <text>
        <r>
          <rPr>
            <sz val="8"/>
            <color indexed="81"/>
            <rFont val="Tahoma"/>
            <charset val="204"/>
          </rPr>
          <t>Приклад 1: Європа
Приклад 2: Немає значення</t>
        </r>
      </text>
    </comment>
    <comment ref="D41" authorId="0">
      <text>
        <r>
          <rPr>
            <sz val="8"/>
            <color indexed="81"/>
            <rFont val="Tahoma"/>
            <charset val="204"/>
          </rPr>
          <t>Приклад 1:    0
Приклад 2:   60</t>
        </r>
      </text>
    </comment>
    <comment ref="H41" authorId="0">
      <text>
        <r>
          <rPr>
            <sz val="8"/>
            <color indexed="81"/>
            <rFont val="Tahoma"/>
            <charset val="204"/>
          </rPr>
          <t>Example 1:    84
Example 2:   8,1</t>
        </r>
      </text>
    </comment>
    <comment ref="D45" authorId="0">
      <text>
        <r>
          <rPr>
            <sz val="8"/>
            <color indexed="81"/>
            <rFont val="Tahoma"/>
            <charset val="204"/>
          </rPr>
          <t>Приклад 1: Висока активність глини
Приклад 2: Низька активність глини</t>
        </r>
      </text>
    </comment>
    <comment ref="D46" authorId="0">
      <text>
        <r>
          <rPr>
            <sz val="8"/>
            <color indexed="81"/>
            <rFont val="Tahoma"/>
            <charset val="204"/>
          </rPr>
          <t>Example 1: Повна обробка
Example 2:Відсутній</t>
        </r>
      </text>
    </comment>
    <comment ref="H46" authorId="0">
      <text>
        <r>
          <rPr>
            <sz val="8"/>
            <color indexed="81"/>
            <rFont val="Tahoma"/>
            <charset val="204"/>
          </rPr>
          <t>Приклад 1: Відсутній
Приклад 2: Номінальний</t>
        </r>
      </text>
    </comment>
    <comment ref="D47" authorId="0">
      <text>
        <r>
          <rPr>
            <sz val="8"/>
            <color indexed="81"/>
            <rFont val="Tahoma"/>
            <charset val="204"/>
          </rPr>
          <t>Приклад 1: Високі без гною
Приклад 2: Середні</t>
        </r>
      </text>
    </comment>
    <comment ref="H47" authorId="0">
      <text>
        <r>
          <rPr>
            <sz val="8"/>
            <color indexed="81"/>
            <rFont val="Tahoma"/>
            <charset val="204"/>
          </rPr>
          <t>Приклад 1:   Немає добрив
Приклад 2:   Середні добрива</t>
        </r>
      </text>
    </comment>
    <comment ref="D49" authorId="0">
      <text>
        <r>
          <rPr>
            <sz val="8"/>
            <color indexed="81"/>
            <rFont val="Tahoma"/>
            <charset val="204"/>
          </rPr>
          <t>Приклад 1:    88
Приклад 2:   47</t>
        </r>
      </text>
    </comment>
    <comment ref="D50" authorId="0">
      <text>
        <r>
          <rPr>
            <sz val="8"/>
            <color indexed="81"/>
            <rFont val="Tahoma"/>
            <charset val="204"/>
          </rPr>
          <t>Приклад 1:  0,69
Приклад 2:  1</t>
        </r>
      </text>
    </comment>
    <comment ref="H50" authorId="0">
      <text>
        <r>
          <rPr>
            <sz val="8"/>
            <color indexed="81"/>
            <rFont val="Tahoma"/>
            <charset val="204"/>
          </rPr>
          <t>Приклад 1:   11
Приклад 2:  1</t>
        </r>
      </text>
    </comment>
    <comment ref="D51" authorId="0">
      <text>
        <r>
          <rPr>
            <sz val="8"/>
            <color indexed="81"/>
            <rFont val="Tahoma"/>
            <charset val="204"/>
          </rPr>
          <t>Приклад 1:   1
Приклад 2:   1,22</t>
        </r>
      </text>
    </comment>
    <comment ref="H51" authorId="0">
      <text>
        <r>
          <rPr>
            <sz val="8"/>
            <color indexed="81"/>
            <rFont val="Tahoma"/>
            <charset val="204"/>
          </rPr>
          <t>Приклад 1:   н/a
Приклад 2:   1</t>
        </r>
      </text>
    </comment>
    <comment ref="D52" authorId="0">
      <text>
        <r>
          <rPr>
            <sz val="8"/>
            <color indexed="81"/>
            <rFont val="Tahoma"/>
            <charset val="204"/>
          </rPr>
          <t>Приклад 1:   1,11
Приклад 2:   1</t>
        </r>
      </text>
    </comment>
    <comment ref="H52" authorId="0">
      <text>
        <r>
          <rPr>
            <sz val="8"/>
            <color indexed="81"/>
            <rFont val="Tahoma"/>
            <charset val="204"/>
          </rPr>
          <t>Приклад 1:    н/a
Приклад 2:   1</t>
        </r>
      </text>
    </comment>
  </commentList>
</comments>
</file>

<file path=xl/comments10.xml><?xml version="1.0" encoding="utf-8"?>
<comments xmlns="http://schemas.openxmlformats.org/spreadsheetml/2006/main">
  <authors>
    <author>neeft</author>
    <author>sbu</author>
  </authors>
  <commentList>
    <comment ref="C53" authorId="0">
      <text>
        <r>
          <rPr>
            <sz val="8"/>
            <color indexed="81"/>
            <rFont val="Tahoma"/>
            <charset val="204"/>
          </rPr>
          <t>Factor 1,4 is to convert "typical value" into "default value</t>
        </r>
      </text>
    </comment>
    <comment ref="C73" authorId="0">
      <text>
        <r>
          <rPr>
            <sz val="8"/>
            <color indexed="81"/>
            <rFont val="Tahoma"/>
            <charset val="204"/>
          </rPr>
          <t>Factor 1,4 is to convert "typical value" into "default value</t>
        </r>
      </text>
    </comment>
    <comment ref="C74" authorId="0">
      <text>
        <r>
          <rPr>
            <sz val="8"/>
            <color indexed="81"/>
            <rFont val="Tahoma"/>
            <charset val="204"/>
          </rPr>
          <t>Factor 1,4 is to convert "typical value" into "default value</t>
        </r>
      </text>
    </comment>
    <comment ref="C83" authorId="0">
      <text>
        <r>
          <rPr>
            <sz val="8"/>
            <color indexed="81"/>
            <rFont val="Tahoma"/>
            <charset val="204"/>
          </rPr>
          <t>Factor 1,4 is to convert "typical value" into "default value</t>
        </r>
      </text>
    </comment>
    <comment ref="B110" authorId="1">
      <text>
        <r>
          <rPr>
            <sz val="10"/>
            <color indexed="81"/>
            <rFont val="Arial"/>
            <family val="2"/>
            <charset val="204"/>
          </rPr>
          <t>Annualised emissions from carbon stock changes caused by land-use change, e</t>
        </r>
        <r>
          <rPr>
            <vertAlign val="subscript"/>
            <sz val="10"/>
            <color indexed="81"/>
            <rFont val="Arial"/>
            <family val="2"/>
            <charset val="204"/>
          </rPr>
          <t>l</t>
        </r>
        <r>
          <rPr>
            <sz val="10"/>
            <color indexed="81"/>
            <rFont val="Arial"/>
            <family val="2"/>
            <charset val="204"/>
          </rPr>
          <t>, shall be calculated by dividing total emissions equally over 20 years. For the calculation of those emissions the following rule shall be applied:
e</t>
        </r>
        <r>
          <rPr>
            <vertAlign val="subscript"/>
            <sz val="10"/>
            <color indexed="81"/>
            <rFont val="Arial"/>
            <family val="2"/>
            <charset val="204"/>
          </rPr>
          <t>l</t>
        </r>
        <r>
          <rPr>
            <sz val="10"/>
            <color indexed="81"/>
            <rFont val="Arial"/>
            <family val="2"/>
            <charset val="204"/>
          </rPr>
          <t xml:space="preserve"> = (CS</t>
        </r>
        <r>
          <rPr>
            <vertAlign val="subscript"/>
            <sz val="10"/>
            <color indexed="81"/>
            <rFont val="Arial"/>
            <family val="2"/>
            <charset val="204"/>
          </rPr>
          <t>R</t>
        </r>
        <r>
          <rPr>
            <sz val="10"/>
            <color indexed="81"/>
            <rFont val="Arial"/>
            <family val="2"/>
            <charset val="204"/>
          </rPr>
          <t xml:space="preserve"> – CS</t>
        </r>
        <r>
          <rPr>
            <vertAlign val="subscript"/>
            <sz val="10"/>
            <color indexed="81"/>
            <rFont val="Arial"/>
            <family val="2"/>
            <charset val="204"/>
          </rPr>
          <t>A</t>
        </r>
        <r>
          <rPr>
            <sz val="10"/>
            <color indexed="81"/>
            <rFont val="Arial"/>
            <family val="2"/>
            <charset val="204"/>
          </rPr>
          <t>) × 3,664 × 1/20 × 1/P – e</t>
        </r>
        <r>
          <rPr>
            <vertAlign val="subscript"/>
            <sz val="10"/>
            <color indexed="81"/>
            <rFont val="Arial"/>
            <family val="2"/>
            <charset val="204"/>
          </rPr>
          <t>B</t>
        </r>
        <r>
          <rPr>
            <vertAlign val="superscript"/>
            <sz val="10"/>
            <color indexed="81"/>
            <rFont val="Arial"/>
            <family val="2"/>
            <charset val="204"/>
          </rPr>
          <t>(1)</t>
        </r>
        <r>
          <rPr>
            <sz val="10"/>
            <color indexed="81"/>
            <rFont val="Arial"/>
            <family val="2"/>
            <charset val="204"/>
          </rPr>
          <t xml:space="preserve">
where
e</t>
        </r>
        <r>
          <rPr>
            <vertAlign val="subscript"/>
            <sz val="10"/>
            <color indexed="81"/>
            <rFont val="Arial"/>
            <family val="2"/>
            <charset val="204"/>
          </rPr>
          <t>l</t>
        </r>
        <r>
          <rPr>
            <sz val="10"/>
            <color indexed="81"/>
            <rFont val="Arial"/>
            <family val="2"/>
            <charset val="204"/>
          </rPr>
          <t xml:space="preserve"> = annualised greenhouse gas emissions from carbon stock change due to land-use change (measured as mass of CO</t>
        </r>
        <r>
          <rPr>
            <vertAlign val="subscript"/>
            <sz val="10"/>
            <color indexed="81"/>
            <rFont val="Arial"/>
            <family val="2"/>
            <charset val="204"/>
          </rPr>
          <t>2</t>
        </r>
        <r>
          <rPr>
            <sz val="10"/>
            <color indexed="81"/>
            <rFont val="Arial"/>
            <family val="2"/>
            <charset val="204"/>
          </rPr>
          <t>-equivalent per unit biofuel energy);
CS</t>
        </r>
        <r>
          <rPr>
            <vertAlign val="subscript"/>
            <sz val="10"/>
            <color indexed="81"/>
            <rFont val="Arial"/>
            <family val="2"/>
            <charset val="204"/>
          </rPr>
          <t>R</t>
        </r>
        <r>
          <rPr>
            <sz val="10"/>
            <color indexed="81"/>
            <rFont val="Arial"/>
            <family val="2"/>
            <charset val="204"/>
          </rPr>
          <t xml:space="preserve">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t>
        </r>
        <r>
          <rPr>
            <vertAlign val="subscript"/>
            <sz val="10"/>
            <color indexed="81"/>
            <rFont val="Arial"/>
            <family val="2"/>
            <charset val="204"/>
          </rPr>
          <t>A</t>
        </r>
        <r>
          <rPr>
            <sz val="10"/>
            <color indexed="81"/>
            <rFont val="Arial"/>
            <family val="2"/>
            <charset val="204"/>
          </rPr>
          <t xml:space="preserve"> =the carbon stock per unit area associated with the actual land use (measured as mass of carbon per unit area, including both soil and vegetation). In cases where the carbon stock accumulates over more than one year, the value attributed to CS</t>
        </r>
        <r>
          <rPr>
            <vertAlign val="subscript"/>
            <sz val="10"/>
            <color indexed="81"/>
            <rFont val="Arial"/>
            <family val="2"/>
            <charset val="204"/>
          </rPr>
          <t>A</t>
        </r>
        <r>
          <rPr>
            <sz val="10"/>
            <color indexed="81"/>
            <rFont val="Arial"/>
            <family val="2"/>
            <charset val="204"/>
          </rPr>
          <t xml:space="preserve"> shall be the estimated stock per unit area after 20 years or when the crop reaches maturity, whichever the earlier;
P =the productivity of the crop (measured as biofuel or bioliquid energy per unit area per year); and
e</t>
        </r>
        <r>
          <rPr>
            <vertAlign val="subscript"/>
            <sz val="10"/>
            <color indexed="81"/>
            <rFont val="Arial"/>
            <family val="2"/>
            <charset val="204"/>
          </rPr>
          <t>B</t>
        </r>
        <r>
          <rPr>
            <sz val="10"/>
            <color indexed="81"/>
            <rFont val="Arial"/>
            <family val="2"/>
            <charset val="204"/>
          </rPr>
          <t xml:space="preserve"> =bonus of 29 gCO</t>
        </r>
        <r>
          <rPr>
            <vertAlign val="subscript"/>
            <sz val="10"/>
            <color indexed="81"/>
            <rFont val="Arial"/>
            <family val="2"/>
            <charset val="204"/>
          </rPr>
          <t>2eq</t>
        </r>
        <r>
          <rPr>
            <sz val="10"/>
            <color indexed="81"/>
            <rFont val="Arial"/>
            <family val="2"/>
            <charset val="204"/>
          </rPr>
          <t>/MJ biofuel or bioliquid if biomass is obtained from restored degraded land under the conditions provided for in point 8.
8.
The bonus of 29 gCO</t>
        </r>
        <r>
          <rPr>
            <vertAlign val="subscript"/>
            <sz val="10"/>
            <color indexed="81"/>
            <rFont val="Arial"/>
            <family val="2"/>
            <charset val="204"/>
          </rPr>
          <t>2eq</t>
        </r>
        <r>
          <rPr>
            <sz val="10"/>
            <color indexed="81"/>
            <rFont val="Arial"/>
            <family val="2"/>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vertAlign val="subscript"/>
            <sz val="10"/>
            <color indexed="81"/>
            <rFont val="Arial"/>
            <family val="2"/>
            <charset val="204"/>
          </rPr>
          <t>2eq</t>
        </r>
        <r>
          <rPr>
            <sz val="10"/>
            <color indexed="81"/>
            <rFont val="Arial"/>
            <family val="2"/>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r>
          <rPr>
            <sz val="8"/>
            <color indexed="81"/>
            <rFont val="Tahoma"/>
            <charset val="204"/>
          </rPr>
          <t xml:space="preserve">
</t>
        </r>
        <r>
          <rPr>
            <sz val="10"/>
            <color indexed="81"/>
            <rFont val="Arial"/>
            <family val="2"/>
            <charset val="204"/>
          </rPr>
          <t xml:space="preserve">
</t>
        </r>
        <r>
          <rPr>
            <vertAlign val="superscript"/>
            <sz val="10"/>
            <color indexed="81"/>
            <rFont val="Arial"/>
            <family val="2"/>
            <charset val="204"/>
          </rPr>
          <t>(1)</t>
        </r>
        <r>
          <rPr>
            <vertAlign val="subscript"/>
            <sz val="10"/>
            <color indexed="81"/>
            <rFont val="Arial"/>
            <family val="2"/>
            <charset val="204"/>
          </rPr>
          <t xml:space="preserve"> </t>
        </r>
        <r>
          <rPr>
            <sz val="10"/>
            <color indexed="81"/>
            <rFont val="Arial"/>
            <family val="2"/>
            <charset val="204"/>
          </rPr>
          <t xml:space="preserve"> The quotient obtained by dividing the molecular weight of CO</t>
        </r>
        <r>
          <rPr>
            <vertAlign val="subscript"/>
            <sz val="10"/>
            <color indexed="81"/>
            <rFont val="Arial"/>
            <family val="2"/>
            <charset val="204"/>
          </rPr>
          <t>2</t>
        </r>
        <r>
          <rPr>
            <sz val="10"/>
            <color indexed="81"/>
            <rFont val="Arial"/>
            <family val="2"/>
            <charset val="204"/>
          </rPr>
          <t xml:space="preserve"> (44,010 g/mol) by the molecular weight of carbon (12,011 g/mol) is equal to 3,664.</t>
        </r>
      </text>
    </comment>
    <comment ref="C119" authorId="1">
      <text>
        <r>
          <rPr>
            <sz val="10"/>
            <color indexed="81"/>
            <rFont val="Arial"/>
            <family val="2"/>
            <charset val="204"/>
          </rPr>
          <t xml:space="preserve">
The bonus of 29 gCO</t>
        </r>
        <r>
          <rPr>
            <vertAlign val="subscript"/>
            <sz val="10"/>
            <color indexed="81"/>
            <rFont val="Arial"/>
            <family val="2"/>
            <charset val="204"/>
          </rPr>
          <t>2eq</t>
        </r>
        <r>
          <rPr>
            <sz val="10"/>
            <color indexed="81"/>
            <rFont val="Arial"/>
            <family val="2"/>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vertAlign val="subscript"/>
            <sz val="10"/>
            <color indexed="81"/>
            <rFont val="Arial"/>
            <family val="2"/>
            <charset val="204"/>
          </rPr>
          <t>2eq</t>
        </r>
        <r>
          <rPr>
            <sz val="10"/>
            <color indexed="81"/>
            <rFont val="Arial"/>
            <family val="2"/>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127" authorId="1">
      <text>
        <r>
          <rPr>
            <sz val="10"/>
            <color indexed="81"/>
            <rFont val="Arial"/>
            <family val="2"/>
            <charset val="204"/>
          </rPr>
          <t>Emission saving from soil carbon accumulation via improved agricultural management, esca, should only be calculated if no land use change has taken place (so when e</t>
        </r>
        <r>
          <rPr>
            <vertAlign val="subscript"/>
            <sz val="10"/>
            <color indexed="81"/>
            <rFont val="Arial"/>
            <family val="2"/>
            <charset val="204"/>
          </rPr>
          <t>l</t>
        </r>
        <r>
          <rPr>
            <sz val="10"/>
            <color indexed="81"/>
            <rFont val="Arial"/>
            <family val="2"/>
            <charset val="204"/>
          </rPr>
          <t xml:space="preserve"> = 0) and can be calculated following the calculation for land use change, but excluding vegetation (so for soil organic carbon only).
Emission saving from improved agricultural management could include practices such as:
— shifting to reduced or zero-tillage;
— improved crop rotations and/or cover crops, including crop residue management;
— improved fertiliser or manure management;
— use of soil improver (e.g. compost).
Emission savings from such improvements can be taken into account if evidence is provided that the soil has carbon increased, or solid and verifiable evidence is provided that it can reasonably be expected to have increased, over the period in which the raw materials concerned were cultivated.</t>
        </r>
      </text>
    </comment>
    <comment ref="C133" authorId="1">
      <text>
        <r>
          <rPr>
            <sz val="10"/>
            <color indexed="81"/>
            <rFont val="Arial"/>
            <family val="2"/>
            <charset val="204"/>
          </rPr>
          <t>Emission saving from carbon capture and replacement, e</t>
        </r>
        <r>
          <rPr>
            <vertAlign val="subscript"/>
            <sz val="10"/>
            <color indexed="81"/>
            <rFont val="Arial"/>
            <family val="2"/>
            <charset val="204"/>
          </rPr>
          <t>ccr</t>
        </r>
        <r>
          <rPr>
            <sz val="10"/>
            <color indexed="81"/>
            <rFont val="Arial"/>
            <family val="2"/>
            <charset val="204"/>
          </rPr>
          <t>, shall be limited to emissions avoided through the capture of CO</t>
        </r>
        <r>
          <rPr>
            <vertAlign val="subscript"/>
            <sz val="10"/>
            <color indexed="81"/>
            <rFont val="Arial"/>
            <family val="2"/>
            <charset val="204"/>
          </rPr>
          <t>2</t>
        </r>
        <r>
          <rPr>
            <sz val="10"/>
            <color indexed="81"/>
            <rFont val="Arial"/>
            <family val="2"/>
            <charset val="204"/>
          </rPr>
          <t xml:space="preserve"> of which the carbon originates from biomass and which is used to replace fossil-derived CO</t>
        </r>
        <r>
          <rPr>
            <vertAlign val="subscript"/>
            <sz val="10"/>
            <color indexed="81"/>
            <rFont val="Arial"/>
            <family val="2"/>
            <charset val="204"/>
          </rPr>
          <t>2</t>
        </r>
        <r>
          <rPr>
            <sz val="10"/>
            <color indexed="81"/>
            <rFont val="Arial"/>
            <family val="2"/>
            <charset val="204"/>
          </rPr>
          <t xml:space="preserve"> used in commercial products and services.</t>
        </r>
      </text>
    </comment>
    <comment ref="C139" authorId="1">
      <text>
        <r>
          <rPr>
            <sz val="10"/>
            <color indexed="81"/>
            <rFont val="Arial"/>
            <family val="2"/>
            <charset val="204"/>
          </rPr>
          <t>Emission saving from carbon capture and geological storage e</t>
        </r>
        <r>
          <rPr>
            <vertAlign val="subscript"/>
            <sz val="10"/>
            <color indexed="81"/>
            <rFont val="Arial"/>
            <family val="2"/>
            <charset val="204"/>
          </rPr>
          <t>ccs</t>
        </r>
        <r>
          <rPr>
            <sz val="10"/>
            <color indexed="81"/>
            <rFont val="Arial"/>
            <family val="2"/>
            <charset val="204"/>
          </rPr>
          <t>, that have not already been accounted for in e</t>
        </r>
        <r>
          <rPr>
            <vertAlign val="subscript"/>
            <sz val="10"/>
            <color indexed="81"/>
            <rFont val="Arial"/>
            <family val="2"/>
            <charset val="204"/>
          </rPr>
          <t>p</t>
        </r>
        <r>
          <rPr>
            <sz val="10"/>
            <color indexed="81"/>
            <rFont val="Arial"/>
            <family val="2"/>
            <charset val="204"/>
          </rPr>
          <t>, shall be limited to emissions avoided through the capture and sequestration of emitted CO</t>
        </r>
        <r>
          <rPr>
            <vertAlign val="subscript"/>
            <sz val="10"/>
            <color indexed="81"/>
            <rFont val="Arial"/>
            <family val="2"/>
            <charset val="204"/>
          </rPr>
          <t>2</t>
        </r>
        <r>
          <rPr>
            <sz val="10"/>
            <color indexed="81"/>
            <rFont val="Arial"/>
            <family val="2"/>
            <charset val="204"/>
          </rPr>
          <t xml:space="preserve"> directly related to the extraction, transport, processing and distribution of fuel.</t>
        </r>
      </text>
    </comment>
  </commentList>
</comments>
</file>

<file path=xl/comments11.xml><?xml version="1.0" encoding="utf-8"?>
<comments xmlns="http://schemas.openxmlformats.org/spreadsheetml/2006/main">
  <authors>
    <author>neeft</author>
    <author>sbu</author>
  </authors>
  <commentList>
    <comment ref="H7" authorId="0">
      <text>
        <r>
          <rPr>
            <sz val="8"/>
            <color indexed="81"/>
            <rFont val="Tahoma"/>
            <charset val="204"/>
          </rPr>
          <t>Дане значення не включено до RED. Розраховане на базі вхідних даних JEC, як описано в аркуші "Опис"</t>
        </r>
      </text>
    </comment>
    <comment ref="H9"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1"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3"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4" authorId="0">
      <text>
        <r>
          <rPr>
            <sz val="8"/>
            <color indexed="81"/>
            <rFont val="Tahoma"/>
            <charset val="204"/>
          </rPr>
          <t>Дане значення не включено до RED. Розраховане на базі вхідних даних JEC, як описано в аркуші "Опис"</t>
        </r>
      </text>
    </comment>
    <comment ref="C69" authorId="0">
      <text>
        <r>
          <rPr>
            <sz val="8"/>
            <color indexed="81"/>
            <rFont val="Tahoma"/>
            <charset val="204"/>
          </rPr>
          <t>Чинник 1,4 конвертує "типові значення" у "значення за замовчуванням"</t>
        </r>
      </text>
    </comment>
    <comment ref="C70" authorId="0">
      <text>
        <r>
          <rPr>
            <sz val="8"/>
            <color indexed="81"/>
            <rFont val="Tahoma"/>
            <charset val="204"/>
          </rPr>
          <t>Чинник 1,4 конвертує "типові значення" у "значення за замовчуванням"</t>
        </r>
      </text>
    </comment>
    <comment ref="C75" authorId="0">
      <text>
        <r>
          <rPr>
            <sz val="8"/>
            <color indexed="81"/>
            <rFont val="Tahoma"/>
            <charset val="204"/>
          </rPr>
          <t>Негативне значення</t>
        </r>
      </text>
    </comment>
    <comment ref="C76" authorId="0">
      <text>
        <r>
          <rPr>
            <sz val="8"/>
            <color indexed="81"/>
            <rFont val="Tahoma"/>
            <charset val="204"/>
          </rPr>
          <t>Негативне значення</t>
        </r>
      </text>
    </comment>
    <comment ref="B114" authorId="1">
      <text>
        <r>
          <rPr>
            <sz val="8"/>
            <color indexed="81"/>
            <rFont val="Tahoma"/>
            <charset val="204"/>
          </rPr>
          <t xml:space="preserve">Річні викиди від вуглецевих запасів, пов'язаних зі зміною в землекористуванні (EL), обчислюються шляхом ділення загального обсягу викидів в рівній мірі протягом 20 років. Для розрахунку цих викидів застосовується наступне рівняння: 
el = (CSR – CSA) × 3,664 × 1/20 × 1/P – eB(1)
де
el = річна викиди парникових газів від зміни вуглецевих запасів через зміни у землекористуванні (вимірюється як маса еквівалента CO2 на одиницю енергії біопалива);
CSR =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пізніше;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раніше; 
CSA = вуглецеві запаси на одиницю площі, пов'язані з фактичним землекористуванням (вимірюється як маса вуглецю на одиницю площі, в тому числі грунти та рослинність). У випадках, коли вуглецеві запаси накопичуються протягом більш ніж одного року, значення, що віднесені до CSA повинні бути оцінені як запаси на одиницю площі після 20 років або коли врожай досягає зрілості, в залежності від того, який з цих факторів настав раніше;
P = продуктивність врожаю (вимірюється в якості біопалива або біорідини на одиницю площі в рік); та
eB = бонус 29 гCO2екв / МДж біопалива або біорідини, якщо біомаса виходить з відновлених деградованих земель в умовах, передбачених у пункті нижче. 
</t>
        </r>
      </text>
    </comment>
    <comment ref="C123" authorId="1">
      <text>
        <r>
          <rPr>
            <sz val="8"/>
            <color indexed="81"/>
            <rFont val="Tahoma"/>
            <charset val="204"/>
          </rPr>
          <t xml:space="preserve">Бонус 29 гCO2екв / МДж повинен бути внесений, якщо надані свідчення, що земля:
(а) не була у використана для сільськогосподарства або будь-якої іншої діяльності, у січні 2008 року; і
(б) потрапляє в одну з наступних категорій:
   (І) строго деградованих земель, у тому числі таких земель, які раніше перебували у сільськогосподарському використанні;
   (II) сильно забруднені землі.
Бонус 29 гCO2екв / МДж застосовуються протягом 10 років з дати конвертації земель у сільськогосподарське використання. Забезпечується за умови стійкості зростання вуглецевих запасів, а також значного скорочення ерозії, для земель, що підпадають під категорію (І) і знижується за умови забруднення ґрунту землі, що підпадають під категорію (II). </t>
        </r>
      </text>
    </comment>
    <comment ref="C145" authorId="1">
      <text>
        <r>
          <rPr>
            <sz val="8"/>
            <color indexed="81"/>
            <rFont val="Tahoma"/>
            <charset val="204"/>
          </rPr>
          <t xml:space="preserve">Збереження викидів від уловлювання та заміни СО2, eccr, повинні бути обмежені викидами, шляхом уловлювання СО2 від біомаси, що використовується для заміни викопного СО2 , використаного у комерційних продуктах і послугах. </t>
        </r>
      </text>
    </comment>
    <comment ref="C151" authorId="1">
      <text>
        <r>
          <rPr>
            <sz val="8"/>
            <color indexed="81"/>
            <rFont val="Tahoma"/>
            <charset val="204"/>
          </rPr>
          <t>Збереження викидів від уловлювання та геологічного збереження CO2, що не були враховані ep, повинні бути обмежені викидами, шляхом уловлювання та поглинання CO2, безпосередньо пов'язаних з видобуванням, транспортуванням, обробкою та розповсюдженням палива.</t>
        </r>
      </text>
    </comment>
  </commentList>
</comments>
</file>

<file path=xl/comments12.xml><?xml version="1.0" encoding="utf-8"?>
<comments xmlns="http://schemas.openxmlformats.org/spreadsheetml/2006/main">
  <authors>
    <author>neeft</author>
    <author>sbu</author>
  </authors>
  <commentList>
    <comment ref="H7" authorId="0">
      <text>
        <r>
          <rPr>
            <sz val="8"/>
            <color indexed="81"/>
            <rFont val="Tahoma"/>
            <charset val="204"/>
          </rPr>
          <t>This value is not listed in the RED. 
It has been calculated on the basis of the JEC input, as is explained in "About"</t>
        </r>
      </text>
    </comment>
    <comment ref="H9" authorId="0">
      <text>
        <r>
          <rPr>
            <sz val="8"/>
            <color indexed="81"/>
            <rFont val="Tahoma"/>
            <charset val="204"/>
          </rPr>
          <t>This value is not listed in the RED. 
It has been calculated on the basis of the JEC input, as is explained in "About"</t>
        </r>
      </text>
    </comment>
    <comment ref="H11" authorId="0">
      <text>
        <r>
          <rPr>
            <sz val="8"/>
            <color indexed="81"/>
            <rFont val="Tahoma"/>
            <charset val="204"/>
          </rPr>
          <t>This value is not listed in the RED. 
It has been calculated on the basis of the JEC input, as is explained in "About"</t>
        </r>
      </text>
    </comment>
    <comment ref="H13" authorId="0">
      <text>
        <r>
          <rPr>
            <sz val="8"/>
            <color indexed="81"/>
            <rFont val="Tahoma"/>
            <charset val="204"/>
          </rPr>
          <t>This value is not listed in the RED. 
It has been calculated on the basis of the JEC input, as is explained in "About"</t>
        </r>
      </text>
    </comment>
    <comment ref="H14" authorId="0">
      <text>
        <r>
          <rPr>
            <sz val="8"/>
            <color indexed="81"/>
            <rFont val="Tahoma"/>
            <charset val="204"/>
          </rPr>
          <t>This value is not listed in the RED. 
It has been calculated on the basis of the JEC input, as is explained in "About"</t>
        </r>
      </text>
    </comment>
    <comment ref="C69" authorId="0">
      <text>
        <r>
          <rPr>
            <sz val="8"/>
            <color indexed="81"/>
            <rFont val="Tahoma"/>
            <charset val="204"/>
          </rPr>
          <t>Factor 1,4 is to convert "typical value" into "default value</t>
        </r>
      </text>
    </comment>
    <comment ref="C70" authorId="0">
      <text>
        <r>
          <rPr>
            <sz val="8"/>
            <color indexed="81"/>
            <rFont val="Tahoma"/>
            <charset val="204"/>
          </rPr>
          <t>Factor 1,4 is to convert "typical value" into "default value</t>
        </r>
      </text>
    </comment>
    <comment ref="C75" authorId="0">
      <text>
        <r>
          <rPr>
            <sz val="8"/>
            <color indexed="81"/>
            <rFont val="Tahoma"/>
            <charset val="204"/>
          </rPr>
          <t>This is output, so negative</t>
        </r>
      </text>
    </comment>
    <comment ref="C76" authorId="0">
      <text>
        <r>
          <rPr>
            <sz val="8"/>
            <color indexed="81"/>
            <rFont val="Tahoma"/>
            <charset val="204"/>
          </rPr>
          <t>This is output, so negative</t>
        </r>
      </text>
    </comment>
    <comment ref="B114" authorId="1">
      <text>
        <r>
          <rPr>
            <sz val="8"/>
            <color indexed="81"/>
            <rFont val="Tahoma"/>
            <charset val="204"/>
          </rPr>
          <t>Annualised emissions from carbon stock changes caused by land-use change, e</t>
        </r>
        <r>
          <rPr>
            <sz val="8"/>
            <color indexed="81"/>
            <rFont val="Tahoma"/>
            <charset val="204"/>
          </rPr>
          <t>l</t>
        </r>
        <r>
          <rPr>
            <sz val="8"/>
            <color indexed="81"/>
            <rFont val="Tahoma"/>
            <charset val="204"/>
          </rPr>
          <t>, shall be calculated by dividing total emissions equally over 20 years. For the calculation of those emissions the following rule shall be applied:
e</t>
        </r>
        <r>
          <rPr>
            <sz val="8"/>
            <color indexed="81"/>
            <rFont val="Tahoma"/>
            <charset val="204"/>
          </rPr>
          <t>l</t>
        </r>
        <r>
          <rPr>
            <sz val="8"/>
            <color indexed="81"/>
            <rFont val="Tahoma"/>
            <charset val="204"/>
          </rPr>
          <t xml:space="preserve"> = (CS</t>
        </r>
        <r>
          <rPr>
            <sz val="8"/>
            <color indexed="81"/>
            <rFont val="Tahoma"/>
            <charset val="204"/>
          </rPr>
          <t>R</t>
        </r>
        <r>
          <rPr>
            <sz val="8"/>
            <color indexed="81"/>
            <rFont val="Tahoma"/>
            <charset val="204"/>
          </rPr>
          <t xml:space="preserve"> – CS</t>
        </r>
        <r>
          <rPr>
            <sz val="8"/>
            <color indexed="81"/>
            <rFont val="Tahoma"/>
            <charset val="204"/>
          </rPr>
          <t>A</t>
        </r>
        <r>
          <rPr>
            <sz val="8"/>
            <color indexed="81"/>
            <rFont val="Tahoma"/>
            <charset val="204"/>
          </rPr>
          <t>) × 3,664 × 1/20 × 1/P – e</t>
        </r>
        <r>
          <rPr>
            <sz val="8"/>
            <color indexed="81"/>
            <rFont val="Tahoma"/>
            <charset val="204"/>
          </rPr>
          <t>B</t>
        </r>
        <r>
          <rPr>
            <sz val="8"/>
            <color indexed="81"/>
            <rFont val="Tahoma"/>
            <charset val="204"/>
          </rPr>
          <t>(1)</t>
        </r>
        <r>
          <rPr>
            <sz val="8"/>
            <color indexed="81"/>
            <rFont val="Tahoma"/>
            <charset val="204"/>
          </rPr>
          <t xml:space="preserve">
where
e</t>
        </r>
        <r>
          <rPr>
            <sz val="8"/>
            <color indexed="81"/>
            <rFont val="Tahoma"/>
            <charset val="204"/>
          </rPr>
          <t>l</t>
        </r>
        <r>
          <rPr>
            <sz val="8"/>
            <color indexed="81"/>
            <rFont val="Tahoma"/>
            <charset val="204"/>
          </rPr>
          <t xml:space="preserve"> = annualised greenhouse gas emissions from carbon stock change due to land-use change (measured as mass of CO</t>
        </r>
        <r>
          <rPr>
            <sz val="8"/>
            <color indexed="81"/>
            <rFont val="Tahoma"/>
            <charset val="204"/>
          </rPr>
          <t>2</t>
        </r>
        <r>
          <rPr>
            <sz val="8"/>
            <color indexed="81"/>
            <rFont val="Tahoma"/>
            <charset val="204"/>
          </rPr>
          <t>-equivalent per unit biofuel energy);
CS</t>
        </r>
        <r>
          <rPr>
            <sz val="8"/>
            <color indexed="81"/>
            <rFont val="Tahoma"/>
            <charset val="204"/>
          </rPr>
          <t>R</t>
        </r>
        <r>
          <rPr>
            <sz val="8"/>
            <color indexed="81"/>
            <rFont val="Tahoma"/>
            <charset val="204"/>
          </rPr>
          <t xml:space="preserve">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t>
        </r>
        <r>
          <rPr>
            <sz val="8"/>
            <color indexed="81"/>
            <rFont val="Tahoma"/>
            <charset val="204"/>
          </rPr>
          <t>A</t>
        </r>
        <r>
          <rPr>
            <sz val="8"/>
            <color indexed="81"/>
            <rFont val="Tahoma"/>
            <charset val="204"/>
          </rPr>
          <t xml:space="preserve"> =the carbon stock per unit area associated with the actual land use (measured as mass of carbon per unit area, including both soil and vegetation). In cases where the carbon stock accumulates over more than one year, the value attributed to CS</t>
        </r>
        <r>
          <rPr>
            <sz val="8"/>
            <color indexed="81"/>
            <rFont val="Tahoma"/>
            <charset val="204"/>
          </rPr>
          <t>A</t>
        </r>
        <r>
          <rPr>
            <sz val="8"/>
            <color indexed="81"/>
            <rFont val="Tahoma"/>
            <charset val="204"/>
          </rPr>
          <t xml:space="preserve"> shall be the estimated stock per unit area after 20 years or when the crop reaches maturity, whichever the earlier;
P =the productivity of the crop (measured as biofuel or bioliquid energy per unit area per year); and
e</t>
        </r>
        <r>
          <rPr>
            <sz val="8"/>
            <color indexed="81"/>
            <rFont val="Tahoma"/>
            <charset val="204"/>
          </rPr>
          <t>B</t>
        </r>
        <r>
          <rPr>
            <sz val="8"/>
            <color indexed="81"/>
            <rFont val="Tahoma"/>
            <charset val="204"/>
          </rPr>
          <t xml:space="preserve"> =bonus of 29 gCO</t>
        </r>
        <r>
          <rPr>
            <sz val="8"/>
            <color indexed="81"/>
            <rFont val="Tahoma"/>
            <charset val="204"/>
          </rPr>
          <t>2eq</t>
        </r>
        <r>
          <rPr>
            <sz val="8"/>
            <color indexed="81"/>
            <rFont val="Tahoma"/>
            <charset val="204"/>
          </rPr>
          <t>/MJ biofuel or bioliquid if biomass is obtained from restored degraded land under the conditions provided for in point 8.
8.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r>
          <rPr>
            <sz val="8"/>
            <color indexed="81"/>
            <rFont val="Tahoma"/>
            <charset val="204"/>
          </rPr>
          <t xml:space="preserve">
</t>
        </r>
        <r>
          <rPr>
            <sz val="8"/>
            <color indexed="81"/>
            <rFont val="Tahoma"/>
            <charset val="204"/>
          </rPr>
          <t xml:space="preserve">
</t>
        </r>
        <r>
          <rPr>
            <sz val="8"/>
            <color indexed="81"/>
            <rFont val="Tahoma"/>
            <charset val="204"/>
          </rPr>
          <t>(1)</t>
        </r>
        <r>
          <rPr>
            <sz val="8"/>
            <color indexed="81"/>
            <rFont val="Tahoma"/>
            <charset val="204"/>
          </rPr>
          <t xml:space="preserve"> </t>
        </r>
        <r>
          <rPr>
            <sz val="8"/>
            <color indexed="81"/>
            <rFont val="Tahoma"/>
            <charset val="204"/>
          </rPr>
          <t xml:space="preserve"> The quotient obtained by dividing the molecular weight of CO</t>
        </r>
        <r>
          <rPr>
            <sz val="8"/>
            <color indexed="81"/>
            <rFont val="Tahoma"/>
            <charset val="204"/>
          </rPr>
          <t>2</t>
        </r>
        <r>
          <rPr>
            <sz val="8"/>
            <color indexed="81"/>
            <rFont val="Tahoma"/>
            <charset val="204"/>
          </rPr>
          <t xml:space="preserve"> (44,010 g/mol) by the molecular weight of carbon (12,011 g/mol) is equal to 3,664.</t>
        </r>
      </text>
    </comment>
    <comment ref="C123" authorId="1">
      <text>
        <r>
          <rPr>
            <sz val="8"/>
            <color indexed="81"/>
            <rFont val="Tahoma"/>
            <charset val="204"/>
          </rPr>
          <t xml:space="preserve">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145" authorId="1">
      <text>
        <r>
          <rPr>
            <sz val="8"/>
            <color indexed="81"/>
            <rFont val="Tahoma"/>
            <charset val="204"/>
          </rPr>
          <t>Emission saving from carbon capture and replacement, e</t>
        </r>
        <r>
          <rPr>
            <sz val="8"/>
            <color indexed="81"/>
            <rFont val="Tahoma"/>
            <charset val="204"/>
          </rPr>
          <t>ccr</t>
        </r>
        <r>
          <rPr>
            <sz val="8"/>
            <color indexed="81"/>
            <rFont val="Tahoma"/>
            <charset val="204"/>
          </rPr>
          <t>, shall be limited to emissions avoided through the capture of CO</t>
        </r>
        <r>
          <rPr>
            <sz val="8"/>
            <color indexed="81"/>
            <rFont val="Tahoma"/>
            <charset val="204"/>
          </rPr>
          <t>2</t>
        </r>
        <r>
          <rPr>
            <sz val="8"/>
            <color indexed="81"/>
            <rFont val="Tahoma"/>
            <charset val="204"/>
          </rPr>
          <t xml:space="preserve"> of which the carbon originates from biomass and which is used to replace fossil-derived CO</t>
        </r>
        <r>
          <rPr>
            <sz val="8"/>
            <color indexed="81"/>
            <rFont val="Tahoma"/>
            <charset val="204"/>
          </rPr>
          <t>2</t>
        </r>
        <r>
          <rPr>
            <sz val="8"/>
            <color indexed="81"/>
            <rFont val="Tahoma"/>
            <charset val="204"/>
          </rPr>
          <t xml:space="preserve"> used in commercial products and services.</t>
        </r>
      </text>
    </comment>
    <comment ref="C151" authorId="1">
      <text>
        <r>
          <rPr>
            <sz val="8"/>
            <color indexed="81"/>
            <rFont val="Tahoma"/>
            <charset val="204"/>
          </rPr>
          <t>Emission saving from carbon capture and geological storage e</t>
        </r>
        <r>
          <rPr>
            <sz val="8"/>
            <color indexed="81"/>
            <rFont val="Tahoma"/>
            <charset val="204"/>
          </rPr>
          <t>ccs</t>
        </r>
        <r>
          <rPr>
            <sz val="8"/>
            <color indexed="81"/>
            <rFont val="Tahoma"/>
            <charset val="204"/>
          </rPr>
          <t>, that have not already been accounted for in e</t>
        </r>
        <r>
          <rPr>
            <sz val="8"/>
            <color indexed="81"/>
            <rFont val="Tahoma"/>
            <charset val="204"/>
          </rPr>
          <t>p</t>
        </r>
        <r>
          <rPr>
            <sz val="8"/>
            <color indexed="81"/>
            <rFont val="Tahoma"/>
            <charset val="204"/>
          </rPr>
          <t>, shall be limited to emissions avoided through the capture and sequestration of emitted CO</t>
        </r>
        <r>
          <rPr>
            <sz val="8"/>
            <color indexed="81"/>
            <rFont val="Tahoma"/>
            <charset val="204"/>
          </rPr>
          <t>2</t>
        </r>
        <r>
          <rPr>
            <sz val="8"/>
            <color indexed="81"/>
            <rFont val="Tahoma"/>
            <charset val="204"/>
          </rPr>
          <t xml:space="preserve"> directly related to the extraction, transport, processing and distribution of fuel.</t>
        </r>
      </text>
    </comment>
  </commentList>
</comments>
</file>

<file path=xl/comments13.xml><?xml version="1.0" encoding="utf-8"?>
<comments xmlns="http://schemas.openxmlformats.org/spreadsheetml/2006/main">
  <authors>
    <author>neeft</author>
    <author>sbu</author>
  </authors>
  <commentList>
    <comment ref="H7" authorId="0">
      <text>
        <r>
          <rPr>
            <sz val="8"/>
            <color indexed="81"/>
            <rFont val="Tahoma"/>
            <charset val="204"/>
          </rPr>
          <t>Дане значення не включено до RED. Розраховане на базі вхідних даних JEC, як описано в аркуші "Опис"</t>
        </r>
      </text>
    </comment>
    <comment ref="H9"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1"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2"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3" authorId="0">
      <text>
        <r>
          <rPr>
            <sz val="8"/>
            <color indexed="81"/>
            <rFont val="Tahoma"/>
            <charset val="204"/>
          </rPr>
          <t>Дане значення не включено до RED. Розраховане на базі вхідних даних JEC, як описано в аркуші "Опис"</t>
        </r>
      </text>
    </comment>
    <comment ref="B60" authorId="0">
      <text>
        <r>
          <rPr>
            <sz val="8"/>
            <color indexed="81"/>
            <rFont val="Tahoma"/>
            <charset val="204"/>
          </rPr>
          <t xml:space="preserve">In the steam production, electricity is produced in a larger amount (0,6615 MJ electricity per MJ steam consumed) than the electricity demand in the ethanol plant. Therefore, the electricity demand in the ethanol plant is in fact not a demand but a reduced electricity output. The output of electricity from the steam production is credited by the electricity from a natural gas fired combined cycle gas turbine (NG CCGT). As a consequence, also the electricity demand in the ethanol plant is considered to be electricity from a NG CCGT to acknowledge for the fact that in practice this is not a demand, but a reduced electricity output. If the steam would have been produced in a boiler (without cogeneration of electricity), then the electricity input in the ethanol plant should have been calculated as “Electricity EU mix MV”. If the input of electricity would have been larger than the co-generated electricity from the steam production, than part of electricity input into the ethanol plant would have been calculated as “Electricity (NG CCGT)”, and part as “Electricity EU mix MV”.
</t>
        </r>
      </text>
    </comment>
    <comment ref="C60" authorId="0">
      <text>
        <r>
          <rPr>
            <sz val="8"/>
            <color indexed="81"/>
            <rFont val="Tahoma"/>
            <charset val="204"/>
          </rPr>
          <t>Чинник 1,4 конвертує "типові значення" у "значення за замовчуванням"</t>
        </r>
      </text>
    </comment>
    <comment ref="C61" authorId="0">
      <text>
        <r>
          <rPr>
            <sz val="8"/>
            <color indexed="81"/>
            <rFont val="Tahoma"/>
            <charset val="204"/>
          </rPr>
          <t>Чинник 1,4 конвертує "типові значення" у "значення за замовчуванням"</t>
        </r>
      </text>
    </comment>
    <comment ref="C66" authorId="0">
      <text>
        <r>
          <rPr>
            <sz val="8"/>
            <color indexed="81"/>
            <rFont val="Tahoma"/>
            <charset val="204"/>
          </rPr>
          <t>Негативне значення</t>
        </r>
      </text>
    </comment>
    <comment ref="C67" authorId="0">
      <text>
        <r>
          <rPr>
            <sz val="8"/>
            <color indexed="81"/>
            <rFont val="Tahoma"/>
            <charset val="204"/>
          </rPr>
          <t>Негативне значення</t>
        </r>
      </text>
    </comment>
    <comment ref="B105" authorId="1">
      <text>
        <r>
          <rPr>
            <sz val="8"/>
            <color indexed="81"/>
            <rFont val="Tahoma"/>
            <charset val="204"/>
          </rPr>
          <t xml:space="preserve">Річні викиди від вуглецевих запасів, пов'язаних зі зміною в землекористуванні (EL), обчислюються шляхом ділення загального обсягу викидів в рівній мірі протягом 20 років. Для розрахунку цих викидів застосовується наступне рівняння: 
el = (CSR – CSA) × 3,664 × 1/20 × 1/P – eB(1)
де
el = річна викиди парникових газів від зміни вуглецевих запасів через зміни у землекористуванні (вимірюється як маса еквівалента CO2 на одиницю енергії біопалива);
CSR =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пізніше;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раніше; 
CSA = вуглецеві запаси на одиницю площі, пов'язані з фактичним землекористуванням (вимірюється як маса вуглецю на одиницю площі, в тому числі грунти та рослинність). У випадках, коли вуглецеві запаси накопичуються протягом більш ніж одного року, значення, що віднесені до CSA повинні бути оцінені як запаси на одиницю площі після 20 років або коли врожай досягає зрілості, в залежності від того, який з цих факторів настав раніше;
P = продуктивність врожаю (вимірюється в якості біопалива або біорідини на одиницю площі в рік); та
eB = бонус 29 гCO2екв / МДж біопалива або біорідини, якщо біомаса виходить з відновлених деградованих земель в умовах, передбачених у пункті нижче. 
</t>
        </r>
      </text>
    </comment>
    <comment ref="C114" authorId="1">
      <text>
        <r>
          <rPr>
            <sz val="8"/>
            <color indexed="81"/>
            <rFont val="Tahoma"/>
            <charset val="204"/>
          </rPr>
          <t xml:space="preserve">
Бонус 29 гCO2екв / МДж повинен бути внесений, якщо надані свідчення, що земля:
(а) не була у використана для сільськогосподарства або будь-якої іншої діяльності, у січні 2008 року; і
(б) потрапляє в одну з наступних категорій:
   (І) строго деградованих земель, у тому числі таких земель, які раніше перебували у сільськогосподарському використанні;
   (II) сильно забруднені землі.
Бонус 29 гCO2екв / МДж застосовуються протягом 10 років з дати конвертації земель у сільськогосподарське використання. Забезпечується за умови стійкості зростання вуглецевих запасів, а також значного скорочення ерозії, для земель, що підпадають під категорію (І) і знижується за умови забруднення ґрунту землі, що підпадають під категорію (II). </t>
        </r>
      </text>
    </comment>
    <comment ref="C136" authorId="1">
      <text>
        <r>
          <rPr>
            <sz val="8"/>
            <color indexed="81"/>
            <rFont val="Tahoma"/>
            <charset val="204"/>
          </rPr>
          <t xml:space="preserve">Збереження викидів від уловлювання та заміни СО2, eccr, повинні бути обмежені викидами, шляхом уловлювання СО2 від біомаси, що використовується для заміни викопного СО2 , використаного у комерційних продуктах і послугах. </t>
        </r>
      </text>
    </comment>
    <comment ref="C142" authorId="1">
      <text>
        <r>
          <rPr>
            <sz val="8"/>
            <color indexed="81"/>
            <rFont val="Tahoma"/>
            <charset val="204"/>
          </rPr>
          <t>Збереження викидів від уловлювання та геологічного збереження CO2, що не були враховані ep, повинні бути обмежені викидами, шляхом уловлювання та поглинання CO2, безпосередньо пов'язаних з видобуванням, транспортуванням, обробкою та розповсюдженням палива.</t>
        </r>
      </text>
    </comment>
  </commentList>
</comments>
</file>

<file path=xl/comments14.xml><?xml version="1.0" encoding="utf-8"?>
<comments xmlns="http://schemas.openxmlformats.org/spreadsheetml/2006/main">
  <authors>
    <author>neeft</author>
    <author>sbu</author>
  </authors>
  <commentList>
    <comment ref="H7" authorId="0">
      <text>
        <r>
          <rPr>
            <sz val="8"/>
            <color indexed="81"/>
            <rFont val="Tahoma"/>
            <charset val="204"/>
          </rPr>
          <t>This value is not listed in the RED. 
It has been calculated on the basis of the JEC input, as is explained in "About"</t>
        </r>
      </text>
    </comment>
    <comment ref="H9" authorId="0">
      <text>
        <r>
          <rPr>
            <sz val="8"/>
            <color indexed="81"/>
            <rFont val="Tahoma"/>
            <charset val="204"/>
          </rPr>
          <t>This value is not listed in the RED. 
It has been calculated on the basis of the JEC input, as is explained in "About"</t>
        </r>
      </text>
    </comment>
    <comment ref="H11" authorId="0">
      <text>
        <r>
          <rPr>
            <sz val="8"/>
            <color indexed="81"/>
            <rFont val="Tahoma"/>
            <charset val="204"/>
          </rPr>
          <t>This value is not listed in the RED. 
It has been calculated on the basis of the JEC input, as is explained in "About"</t>
        </r>
      </text>
    </comment>
    <comment ref="H12" authorId="0">
      <text>
        <r>
          <rPr>
            <sz val="8"/>
            <color indexed="81"/>
            <rFont val="Tahoma"/>
            <charset val="204"/>
          </rPr>
          <t>This value is not listed in the RED. 
It has been calculated on the basis of the JEC input, as is explained in "About"</t>
        </r>
      </text>
    </comment>
    <comment ref="H13" authorId="0">
      <text>
        <r>
          <rPr>
            <sz val="8"/>
            <color indexed="81"/>
            <rFont val="Tahoma"/>
            <charset val="204"/>
          </rPr>
          <t>This value is not listed in the RED. 
It has been calculated on the basis of the JEC input, as is explained in "About"</t>
        </r>
      </text>
    </comment>
    <comment ref="B60" authorId="0">
      <text>
        <r>
          <rPr>
            <sz val="8"/>
            <color indexed="81"/>
            <rFont val="Tahoma"/>
            <charset val="204"/>
          </rPr>
          <t xml:space="preserve">In the steam production, electricity is produced in a larger amount (0,6615 MJ electricity per MJ steam consumed) than the electricity demand in the ethanol plant. Therefore, the electricity demand in the ethanol plant is in fact not a demand but a reduced electricity output. The output of electricity from the steam production is credited by the electricity from a natural gas fired combined cycle gas turbine (NG CCGT). As a consequence, also the electricity demand in the ethanol plant is considered to be electricity from a NG CCGT to acknowledge for the fact that in practice this is not a demand, but a reduced electricity output. If the steam would have been produced in a boiler (without cogeneration of electricity), then the electricity input in the ethanol plant should have been calculated as “Electricity EU mix MV”. If the input of electricity would have been larger than the co-generated electricity from the steam production, than part of electricity input into the ethanol plant would have been calculated as “Electricity (NG CCGT)”, and part as “Electricity EU mix MV”.
</t>
        </r>
      </text>
    </comment>
    <comment ref="C60" authorId="0">
      <text>
        <r>
          <rPr>
            <sz val="8"/>
            <color indexed="81"/>
            <rFont val="Tahoma"/>
            <charset val="204"/>
          </rPr>
          <t>Factor 1,4 is to convert "typical value" into "default value</t>
        </r>
      </text>
    </comment>
    <comment ref="C61" authorId="0">
      <text>
        <r>
          <rPr>
            <sz val="8"/>
            <color indexed="81"/>
            <rFont val="Tahoma"/>
            <charset val="204"/>
          </rPr>
          <t>Factor 1,4 is to convert "typical value" into "default value</t>
        </r>
      </text>
    </comment>
    <comment ref="C66" authorId="0">
      <text>
        <r>
          <rPr>
            <sz val="8"/>
            <color indexed="81"/>
            <rFont val="Tahoma"/>
            <charset val="204"/>
          </rPr>
          <t>This is output, so negative</t>
        </r>
      </text>
    </comment>
    <comment ref="C67" authorId="0">
      <text>
        <r>
          <rPr>
            <sz val="8"/>
            <color indexed="81"/>
            <rFont val="Tahoma"/>
            <charset val="204"/>
          </rPr>
          <t>This is output, so negative</t>
        </r>
      </text>
    </comment>
    <comment ref="B105" authorId="1">
      <text>
        <r>
          <rPr>
            <sz val="8"/>
            <color indexed="81"/>
            <rFont val="Tahoma"/>
            <charset val="204"/>
          </rPr>
          <t>Annualised emissions from carbon stock changes caused by land-use change, e</t>
        </r>
        <r>
          <rPr>
            <sz val="8"/>
            <color indexed="81"/>
            <rFont val="Tahoma"/>
            <charset val="204"/>
          </rPr>
          <t>l</t>
        </r>
        <r>
          <rPr>
            <sz val="8"/>
            <color indexed="81"/>
            <rFont val="Tahoma"/>
            <charset val="204"/>
          </rPr>
          <t>, shall be calculated by dividing total emissions equally over 20 years. For the calculation of those emissions the following rule shall be applied:
e</t>
        </r>
        <r>
          <rPr>
            <sz val="8"/>
            <color indexed="81"/>
            <rFont val="Tahoma"/>
            <charset val="204"/>
          </rPr>
          <t>l</t>
        </r>
        <r>
          <rPr>
            <sz val="8"/>
            <color indexed="81"/>
            <rFont val="Tahoma"/>
            <charset val="204"/>
          </rPr>
          <t xml:space="preserve"> = (CS</t>
        </r>
        <r>
          <rPr>
            <sz val="8"/>
            <color indexed="81"/>
            <rFont val="Tahoma"/>
            <charset val="204"/>
          </rPr>
          <t>R</t>
        </r>
        <r>
          <rPr>
            <sz val="8"/>
            <color indexed="81"/>
            <rFont val="Tahoma"/>
            <charset val="204"/>
          </rPr>
          <t xml:space="preserve"> – CS</t>
        </r>
        <r>
          <rPr>
            <sz val="8"/>
            <color indexed="81"/>
            <rFont val="Tahoma"/>
            <charset val="204"/>
          </rPr>
          <t>A</t>
        </r>
        <r>
          <rPr>
            <sz val="8"/>
            <color indexed="81"/>
            <rFont val="Tahoma"/>
            <charset val="204"/>
          </rPr>
          <t>) × 3,664 × 1/20 × 1/P – e</t>
        </r>
        <r>
          <rPr>
            <sz val="8"/>
            <color indexed="81"/>
            <rFont val="Tahoma"/>
            <charset val="204"/>
          </rPr>
          <t>B</t>
        </r>
        <r>
          <rPr>
            <sz val="8"/>
            <color indexed="81"/>
            <rFont val="Tahoma"/>
            <charset val="204"/>
          </rPr>
          <t>(1)</t>
        </r>
        <r>
          <rPr>
            <sz val="8"/>
            <color indexed="81"/>
            <rFont val="Tahoma"/>
            <charset val="204"/>
          </rPr>
          <t xml:space="preserve">
where
e</t>
        </r>
        <r>
          <rPr>
            <sz val="8"/>
            <color indexed="81"/>
            <rFont val="Tahoma"/>
            <charset val="204"/>
          </rPr>
          <t>l</t>
        </r>
        <r>
          <rPr>
            <sz val="8"/>
            <color indexed="81"/>
            <rFont val="Tahoma"/>
            <charset val="204"/>
          </rPr>
          <t xml:space="preserve"> = annualised greenhouse gas emissions from carbon stock change due to land-use change (measured as mass of CO</t>
        </r>
        <r>
          <rPr>
            <sz val="8"/>
            <color indexed="81"/>
            <rFont val="Tahoma"/>
            <charset val="204"/>
          </rPr>
          <t>2</t>
        </r>
        <r>
          <rPr>
            <sz val="8"/>
            <color indexed="81"/>
            <rFont val="Tahoma"/>
            <charset val="204"/>
          </rPr>
          <t>-equivalent per unit biofuel energy);
CS</t>
        </r>
        <r>
          <rPr>
            <sz val="8"/>
            <color indexed="81"/>
            <rFont val="Tahoma"/>
            <charset val="204"/>
          </rPr>
          <t>R</t>
        </r>
        <r>
          <rPr>
            <sz val="8"/>
            <color indexed="81"/>
            <rFont val="Tahoma"/>
            <charset val="204"/>
          </rPr>
          <t xml:space="preserve">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t>
        </r>
        <r>
          <rPr>
            <sz val="8"/>
            <color indexed="81"/>
            <rFont val="Tahoma"/>
            <charset val="204"/>
          </rPr>
          <t>A</t>
        </r>
        <r>
          <rPr>
            <sz val="8"/>
            <color indexed="81"/>
            <rFont val="Tahoma"/>
            <charset val="204"/>
          </rPr>
          <t xml:space="preserve"> =the carbon stock per unit area associated with the actual land use (measured as mass of carbon per unit area, including both soil and vegetation). In cases where the carbon stock accumulates over more than one year, the value attributed to CS</t>
        </r>
        <r>
          <rPr>
            <sz val="8"/>
            <color indexed="81"/>
            <rFont val="Tahoma"/>
            <charset val="204"/>
          </rPr>
          <t>A</t>
        </r>
        <r>
          <rPr>
            <sz val="8"/>
            <color indexed="81"/>
            <rFont val="Tahoma"/>
            <charset val="204"/>
          </rPr>
          <t xml:space="preserve"> shall be the estimated stock per unit area after 20 years or when the crop reaches maturity, whichever the earlier;
P =the productivity of the crop (measured as biofuel or bioliquid energy per unit area per year); and
e</t>
        </r>
        <r>
          <rPr>
            <sz val="8"/>
            <color indexed="81"/>
            <rFont val="Tahoma"/>
            <charset val="204"/>
          </rPr>
          <t>B</t>
        </r>
        <r>
          <rPr>
            <sz val="8"/>
            <color indexed="81"/>
            <rFont val="Tahoma"/>
            <charset val="204"/>
          </rPr>
          <t xml:space="preserve"> =bonus of 29 gCO</t>
        </r>
        <r>
          <rPr>
            <sz val="8"/>
            <color indexed="81"/>
            <rFont val="Tahoma"/>
            <charset val="204"/>
          </rPr>
          <t>2eq</t>
        </r>
        <r>
          <rPr>
            <sz val="8"/>
            <color indexed="81"/>
            <rFont val="Tahoma"/>
            <charset val="204"/>
          </rPr>
          <t>/MJ biofuel or bioliquid if biomass is obtained from restored degraded land under the conditions provided for in point 8.
8.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r>
          <rPr>
            <sz val="8"/>
            <color indexed="81"/>
            <rFont val="Tahoma"/>
            <charset val="204"/>
          </rPr>
          <t xml:space="preserve">
</t>
        </r>
        <r>
          <rPr>
            <sz val="8"/>
            <color indexed="81"/>
            <rFont val="Tahoma"/>
            <charset val="204"/>
          </rPr>
          <t xml:space="preserve">
</t>
        </r>
        <r>
          <rPr>
            <sz val="8"/>
            <color indexed="81"/>
            <rFont val="Tahoma"/>
            <charset val="204"/>
          </rPr>
          <t>(1)</t>
        </r>
        <r>
          <rPr>
            <sz val="8"/>
            <color indexed="81"/>
            <rFont val="Tahoma"/>
            <charset val="204"/>
          </rPr>
          <t xml:space="preserve"> </t>
        </r>
        <r>
          <rPr>
            <sz val="8"/>
            <color indexed="81"/>
            <rFont val="Tahoma"/>
            <charset val="204"/>
          </rPr>
          <t xml:space="preserve"> The quotient obtained by dividing the molecular weight of CO</t>
        </r>
        <r>
          <rPr>
            <sz val="8"/>
            <color indexed="81"/>
            <rFont val="Tahoma"/>
            <charset val="204"/>
          </rPr>
          <t>2</t>
        </r>
        <r>
          <rPr>
            <sz val="8"/>
            <color indexed="81"/>
            <rFont val="Tahoma"/>
            <charset val="204"/>
          </rPr>
          <t xml:space="preserve"> (44,010 g/mol) by the molecular weight of carbon (12,011 g/mol) is equal to 3,664.</t>
        </r>
      </text>
    </comment>
    <comment ref="C114" authorId="1">
      <text>
        <r>
          <rPr>
            <sz val="8"/>
            <color indexed="81"/>
            <rFont val="Tahoma"/>
            <charset val="204"/>
          </rPr>
          <t xml:space="preserve">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136" authorId="1">
      <text>
        <r>
          <rPr>
            <sz val="8"/>
            <color indexed="81"/>
            <rFont val="Tahoma"/>
            <charset val="204"/>
          </rPr>
          <t>Emission saving from carbon capture and replacement, e</t>
        </r>
        <r>
          <rPr>
            <sz val="8"/>
            <color indexed="81"/>
            <rFont val="Tahoma"/>
            <charset val="204"/>
          </rPr>
          <t>ccr</t>
        </r>
        <r>
          <rPr>
            <sz val="8"/>
            <color indexed="81"/>
            <rFont val="Tahoma"/>
            <charset val="204"/>
          </rPr>
          <t>, shall be limited to emissions avoided through the capture of CO</t>
        </r>
        <r>
          <rPr>
            <sz val="8"/>
            <color indexed="81"/>
            <rFont val="Tahoma"/>
            <charset val="204"/>
          </rPr>
          <t>2</t>
        </r>
        <r>
          <rPr>
            <sz val="8"/>
            <color indexed="81"/>
            <rFont val="Tahoma"/>
            <charset val="204"/>
          </rPr>
          <t xml:space="preserve"> of which the carbon originates from biomass and which is used to replace fossil-derived CO</t>
        </r>
        <r>
          <rPr>
            <sz val="8"/>
            <color indexed="81"/>
            <rFont val="Tahoma"/>
            <charset val="204"/>
          </rPr>
          <t>2</t>
        </r>
        <r>
          <rPr>
            <sz val="8"/>
            <color indexed="81"/>
            <rFont val="Tahoma"/>
            <charset val="204"/>
          </rPr>
          <t xml:space="preserve"> used in commercial products and services.</t>
        </r>
      </text>
    </comment>
    <comment ref="C142" authorId="1">
      <text>
        <r>
          <rPr>
            <sz val="8"/>
            <color indexed="81"/>
            <rFont val="Tahoma"/>
            <charset val="204"/>
          </rPr>
          <t>Emission saving from carbon capture and geological storage e</t>
        </r>
        <r>
          <rPr>
            <sz val="8"/>
            <color indexed="81"/>
            <rFont val="Tahoma"/>
            <charset val="204"/>
          </rPr>
          <t>ccs</t>
        </r>
        <r>
          <rPr>
            <sz val="8"/>
            <color indexed="81"/>
            <rFont val="Tahoma"/>
            <charset val="204"/>
          </rPr>
          <t>, that have not already been accounted for in e</t>
        </r>
        <r>
          <rPr>
            <sz val="8"/>
            <color indexed="81"/>
            <rFont val="Tahoma"/>
            <charset val="204"/>
          </rPr>
          <t>p</t>
        </r>
        <r>
          <rPr>
            <sz val="8"/>
            <color indexed="81"/>
            <rFont val="Tahoma"/>
            <charset val="204"/>
          </rPr>
          <t>, shall be limited to emissions avoided through the capture and sequestration of emitted CO</t>
        </r>
        <r>
          <rPr>
            <sz val="8"/>
            <color indexed="81"/>
            <rFont val="Tahoma"/>
            <charset val="204"/>
          </rPr>
          <t>2</t>
        </r>
        <r>
          <rPr>
            <sz val="8"/>
            <color indexed="81"/>
            <rFont val="Tahoma"/>
            <charset val="204"/>
          </rPr>
          <t xml:space="preserve"> directly related to the extraction, transport, processing and distribution of fuel.</t>
        </r>
      </text>
    </comment>
  </commentList>
</comments>
</file>

<file path=xl/comments15.xml><?xml version="1.0" encoding="utf-8"?>
<comments xmlns="http://schemas.openxmlformats.org/spreadsheetml/2006/main">
  <authors>
    <author>neeft</author>
    <author>sbu</author>
  </authors>
  <commentList>
    <comment ref="H7" authorId="0">
      <text>
        <r>
          <rPr>
            <sz val="8"/>
            <color indexed="81"/>
            <rFont val="Tahoma"/>
            <charset val="204"/>
          </rPr>
          <t>Дане значення не включено до RED. Розраховане на базі вхідних даних JEC, як описано в аркуші "Опис"</t>
        </r>
      </text>
    </comment>
    <comment ref="H8"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0"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1"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4"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5"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6" authorId="0">
      <text>
        <r>
          <rPr>
            <sz val="8"/>
            <color indexed="81"/>
            <rFont val="Tahoma"/>
            <charset val="204"/>
          </rPr>
          <t>Дане значення не включено до RED. Розраховане на базі вхідних даних JEC, як описано в аркуші "Опис"</t>
        </r>
      </text>
    </comment>
    <comment ref="C74" authorId="0">
      <text>
        <r>
          <rPr>
            <sz val="8"/>
            <color indexed="81"/>
            <rFont val="Tahoma"/>
            <charset val="204"/>
          </rPr>
          <t>Чинник 1,4 конвертує "типові значення" у "значення за замовчуванням"</t>
        </r>
      </text>
    </comment>
    <comment ref="C75" authorId="0">
      <text>
        <r>
          <rPr>
            <sz val="8"/>
            <color indexed="81"/>
            <rFont val="Tahoma"/>
            <charset val="204"/>
          </rPr>
          <t>Чинник 1,4 конвертує "типові значення" у "значення за замовчуванням"</t>
        </r>
      </text>
    </comment>
    <comment ref="C84" authorId="0">
      <text>
        <r>
          <rPr>
            <sz val="8"/>
            <color indexed="81"/>
            <rFont val="Tahoma"/>
            <charset val="204"/>
          </rPr>
          <t>Чинник 1,4 конвертує "типові значення" у "значення за замовчуванням"</t>
        </r>
      </text>
    </comment>
    <comment ref="C104" authorId="0">
      <text>
        <r>
          <rPr>
            <sz val="8"/>
            <color indexed="81"/>
            <rFont val="Tahoma"/>
            <charset val="204"/>
          </rPr>
          <t>Чинник 1,4 конвертує "типові значення" у "значення за замовчуванням"</t>
        </r>
      </text>
    </comment>
    <comment ref="C105" authorId="0">
      <text>
        <r>
          <rPr>
            <sz val="8"/>
            <color indexed="81"/>
            <rFont val="Tahoma"/>
            <charset val="204"/>
          </rPr>
          <t>Чинник 1,4 конвертує "типові значення" у "значення за замовчуванням"</t>
        </r>
      </text>
    </comment>
    <comment ref="C114" authorId="0">
      <text>
        <r>
          <rPr>
            <sz val="8"/>
            <color indexed="81"/>
            <rFont val="Tahoma"/>
            <charset val="204"/>
          </rPr>
          <t>Чинник 1,4 конвертує "типові значення" у "значення за замовчуванням"</t>
        </r>
      </text>
    </comment>
    <comment ref="C126" authorId="0">
      <text>
        <r>
          <rPr>
            <sz val="8"/>
            <color indexed="81"/>
            <rFont val="Tahoma"/>
            <charset val="204"/>
          </rPr>
          <t>Чинник 1,4 конвертує "типові значення" у "значення за замовчуванням"</t>
        </r>
      </text>
    </comment>
    <comment ref="C127" authorId="0">
      <text>
        <r>
          <rPr>
            <sz val="8"/>
            <color indexed="81"/>
            <rFont val="Tahoma"/>
            <charset val="204"/>
          </rPr>
          <t>Чинник 1,4 конвертує "типові значення" у "значення за замовчуванням"</t>
        </r>
      </text>
    </comment>
    <comment ref="C136" authorId="0">
      <text>
        <r>
          <rPr>
            <sz val="8"/>
            <color indexed="81"/>
            <rFont val="Tahoma"/>
            <charset val="204"/>
          </rPr>
          <t>Чинник 1,4 конвертує "типові значення" у "значення за замовчуванням"</t>
        </r>
      </text>
    </comment>
    <comment ref="C137" authorId="0">
      <text>
        <r>
          <rPr>
            <sz val="8"/>
            <color indexed="81"/>
            <rFont val="Tahoma"/>
            <charset val="204"/>
          </rPr>
          <t>Чинник 1,4 конвертує "типові значення" у "значення за замовчуванням"</t>
        </r>
      </text>
    </comment>
    <comment ref="C138" authorId="0">
      <text>
        <r>
          <rPr>
            <sz val="8"/>
            <color indexed="81"/>
            <rFont val="Tahoma"/>
            <charset val="204"/>
          </rPr>
          <t>Чинник 1,4 конвертує "типові значення" у "значення за замовчуванням"</t>
        </r>
      </text>
    </comment>
    <comment ref="C139" authorId="0">
      <text>
        <r>
          <rPr>
            <sz val="8"/>
            <color indexed="81"/>
            <rFont val="Tahoma"/>
            <charset val="204"/>
          </rPr>
          <t>Чинник 1,4 конвертує "типові значення" у "значення за замовчуванням"</t>
        </r>
      </text>
    </comment>
    <comment ref="C140" authorId="0">
      <text>
        <r>
          <rPr>
            <sz val="8"/>
            <color indexed="81"/>
            <rFont val="Tahoma"/>
            <charset val="204"/>
          </rPr>
          <t>Чинник 1,4 конвертує "типові значення" у "значення за замовчуванням"</t>
        </r>
      </text>
    </comment>
    <comment ref="B176" authorId="1">
      <text>
        <r>
          <rPr>
            <sz val="8"/>
            <color indexed="81"/>
            <rFont val="Tahoma"/>
            <charset val="204"/>
          </rPr>
          <t xml:space="preserve">Річні викиди від вуглецевих запасів, пов'язаних зі зміною в землекористуванні (EL), обчислюються шляхом ділення загального обсягу викидів в рівній мірі протягом 20 років. Для розрахунку цих викидів застосовується наступне рівняння: 
el = (CSR – CSA) × 3,664 × 1/20 × 1/P – eB(1)
де
el = річна викиди парникових газів від зміни вуглецевих запасів через зміни у землекористуванні (вимірюється як маса еквівалента CO2 на одиницю енергії біопалива);
CSR =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пізніше;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раніше; 
CSA = вуглецеві запаси на одиницю площі, пов'язані з фактичним землекористуванням (вимірюється як маса вуглецю на одиницю площі, в тому числі грунти та рослинність). У випадках, коли вуглецеві запаси накопичуються протягом більш ніж одного року, значення, що віднесені до CSA повинні бути оцінені як запаси на одиницю площі після 20 років або коли врожай досягає зрілості, в залежності від того, який з цих факторів настав раніше;
P = продуктивність врожаю (вимірюється в якості біопалива або біорідини на одиницю площі в рік); та
eB = бонус 29 гCO2екв / МДж біопалива або біорідини, якщо біомаса виходить з відновлених деградованих земель в умовах, передбачених у пункті нижче. 
</t>
        </r>
      </text>
    </comment>
    <comment ref="C185" authorId="1">
      <text>
        <r>
          <rPr>
            <sz val="8"/>
            <color indexed="81"/>
            <rFont val="Tahoma"/>
            <charset val="204"/>
          </rPr>
          <t xml:space="preserve">Бонус 29 гCO2екв / МДж повинен бути внесений, якщо надані свідчення, що земля:
(а) не була у використана для сільськогосподарства або будь-якої іншої діяльності, у січні 2008 року; і
(б) потрапляє в одну з наступних категорій:
   (І) строго деградованих земель, у тому числі таких земель, які раніше перебували у сільськогосподарському використанні;
   (II) сильно забруднені землі.
Бонус 29 гCO2екв / МДж застосовуються протягом 10 років з дати конвертації земель у сільськогосподарське використання. Забезпечується за умови стійкості зростання вуглецевих запасів, а також значного скорочення ерозії, для земель, що підпадають під категорію (І) і знижується за умови забруднення ґрунту землі, що підпадають під категорію (II). </t>
        </r>
      </text>
    </comment>
    <comment ref="C207" authorId="1">
      <text>
        <r>
          <rPr>
            <sz val="8"/>
            <color indexed="81"/>
            <rFont val="Tahoma"/>
            <charset val="204"/>
          </rPr>
          <t xml:space="preserve">Збереження викидів від уловлювання та заміни СО2, eccr, повинні бути обмежені викидами, шляхом уловлювання СО2 від біомаси, що використовується для заміни викопного СО2 , використаного у комерційних продуктах і послугах. </t>
        </r>
      </text>
    </comment>
    <comment ref="C213" authorId="1">
      <text>
        <r>
          <rPr>
            <sz val="8"/>
            <color indexed="81"/>
            <rFont val="Tahoma"/>
            <charset val="204"/>
          </rPr>
          <t>Збереження викидів від уловлювання та геологічного збереження CO2, що не були враховані ep, повинні бути обмежені викидами, шляхом уловлювання та поглинання CO2, безпосередньо пов'язаних з видобуванням, транспортуванням, обробкою та розповсюдженням палива.</t>
        </r>
      </text>
    </comment>
  </commentList>
</comments>
</file>

<file path=xl/comments16.xml><?xml version="1.0" encoding="utf-8"?>
<comments xmlns="http://schemas.openxmlformats.org/spreadsheetml/2006/main">
  <authors>
    <author>neeft</author>
    <author>sbu</author>
  </authors>
  <commentList>
    <comment ref="H7" authorId="0">
      <text>
        <r>
          <rPr>
            <sz val="8"/>
            <color indexed="81"/>
            <rFont val="Tahoma"/>
            <charset val="204"/>
          </rPr>
          <t>This value is not listed in the RED. 
It has been calculated on the basis of the JEC input, as is explained in "About"</t>
        </r>
      </text>
    </comment>
    <comment ref="H8" authorId="0">
      <text>
        <r>
          <rPr>
            <sz val="8"/>
            <color indexed="81"/>
            <rFont val="Tahoma"/>
            <charset val="204"/>
          </rPr>
          <t>This value is not listed in the RED. 
It has been calculated on the basis of the JEC input, as is explained in "About"</t>
        </r>
      </text>
    </comment>
    <comment ref="H10" authorId="0">
      <text>
        <r>
          <rPr>
            <sz val="8"/>
            <color indexed="81"/>
            <rFont val="Tahoma"/>
            <charset val="204"/>
          </rPr>
          <t>This value is not listed in the RED. 
It has been calculated on the basis of the JEC input, as is explained in "About"</t>
        </r>
      </text>
    </comment>
    <comment ref="H11" authorId="0">
      <text>
        <r>
          <rPr>
            <sz val="8"/>
            <color indexed="81"/>
            <rFont val="Tahoma"/>
            <charset val="204"/>
          </rPr>
          <t>This value is not listed in the RED. 
It has been calculated on the basis of the JEC input, as is explained in "About"</t>
        </r>
      </text>
    </comment>
    <comment ref="H14" authorId="0">
      <text>
        <r>
          <rPr>
            <sz val="8"/>
            <color indexed="81"/>
            <rFont val="Tahoma"/>
            <charset val="204"/>
          </rPr>
          <t>This value is not listed in the RED. 
It has been calculated on the basis of the JEC input, as is explained in "About"</t>
        </r>
      </text>
    </comment>
    <comment ref="H15" authorId="0">
      <text>
        <r>
          <rPr>
            <sz val="8"/>
            <color indexed="81"/>
            <rFont val="Tahoma"/>
            <charset val="204"/>
          </rPr>
          <t>This value is not listed in the RED. 
It has been calculated on the basis of the JEC input, as is explained in "About"</t>
        </r>
      </text>
    </comment>
    <comment ref="H16" authorId="0">
      <text>
        <r>
          <rPr>
            <sz val="8"/>
            <color indexed="81"/>
            <rFont val="Tahoma"/>
            <charset val="204"/>
          </rPr>
          <t>This value is not listed in the RED. 
It has been calculated on the basis of the JEC input, as is explained in "About"</t>
        </r>
      </text>
    </comment>
    <comment ref="C74" authorId="0">
      <text>
        <r>
          <rPr>
            <sz val="8"/>
            <color indexed="81"/>
            <rFont val="Tahoma"/>
            <charset val="204"/>
          </rPr>
          <t>Factor 1,4 is to convert "typical value" into "default value</t>
        </r>
      </text>
    </comment>
    <comment ref="C75" authorId="0">
      <text>
        <r>
          <rPr>
            <sz val="8"/>
            <color indexed="81"/>
            <rFont val="Tahoma"/>
            <charset val="204"/>
          </rPr>
          <t>Factor 1,4 is to convert "typical value" into "default value</t>
        </r>
      </text>
    </comment>
    <comment ref="C84" authorId="0">
      <text>
        <r>
          <rPr>
            <sz val="8"/>
            <color indexed="81"/>
            <rFont val="Tahoma"/>
            <charset val="204"/>
          </rPr>
          <t>Factor 1,4 is to convert "typical value" into "default value</t>
        </r>
      </text>
    </comment>
    <comment ref="C104" authorId="0">
      <text>
        <r>
          <rPr>
            <sz val="8"/>
            <color indexed="81"/>
            <rFont val="Tahoma"/>
            <charset val="204"/>
          </rPr>
          <t>Factor 1,4 is to convert "typical value" into "default value</t>
        </r>
      </text>
    </comment>
    <comment ref="C105" authorId="0">
      <text>
        <r>
          <rPr>
            <sz val="8"/>
            <color indexed="81"/>
            <rFont val="Tahoma"/>
            <charset val="204"/>
          </rPr>
          <t>Factor 1,4 is to convert "typical value" into "default value</t>
        </r>
      </text>
    </comment>
    <comment ref="C114" authorId="0">
      <text>
        <r>
          <rPr>
            <sz val="8"/>
            <color indexed="81"/>
            <rFont val="Tahoma"/>
            <charset val="204"/>
          </rPr>
          <t>Factor 1,4 is to convert "typical value" into "default value</t>
        </r>
      </text>
    </comment>
    <comment ref="C126" authorId="0">
      <text>
        <r>
          <rPr>
            <sz val="8"/>
            <color indexed="81"/>
            <rFont val="Tahoma"/>
            <charset val="204"/>
          </rPr>
          <t>Factor 1,4 is to convert "typical value" into "default value</t>
        </r>
      </text>
    </comment>
    <comment ref="C127" authorId="0">
      <text>
        <r>
          <rPr>
            <sz val="8"/>
            <color indexed="81"/>
            <rFont val="Tahoma"/>
            <charset val="204"/>
          </rPr>
          <t>Factor 1,4 is to convert "typical value" into "default value</t>
        </r>
      </text>
    </comment>
    <comment ref="C136" authorId="0">
      <text>
        <r>
          <rPr>
            <sz val="8"/>
            <color indexed="81"/>
            <rFont val="Tahoma"/>
            <charset val="204"/>
          </rPr>
          <t>Factor 1,4 is to convert "typical value" into "default value</t>
        </r>
      </text>
    </comment>
    <comment ref="C137" authorId="0">
      <text>
        <r>
          <rPr>
            <sz val="8"/>
            <color indexed="81"/>
            <rFont val="Tahoma"/>
            <charset val="204"/>
          </rPr>
          <t>Factor 1,4 is to convert "typical value" into "default value</t>
        </r>
      </text>
    </comment>
    <comment ref="C138" authorId="0">
      <text>
        <r>
          <rPr>
            <sz val="8"/>
            <color indexed="81"/>
            <rFont val="Tahoma"/>
            <charset val="204"/>
          </rPr>
          <t>Factor 1,4 is to convert "typical value" into "default value</t>
        </r>
      </text>
    </comment>
    <comment ref="C139" authorId="0">
      <text>
        <r>
          <rPr>
            <sz val="8"/>
            <color indexed="81"/>
            <rFont val="Tahoma"/>
            <charset val="204"/>
          </rPr>
          <t>Factor 1,4 is to convert "typical value" into "default value</t>
        </r>
      </text>
    </comment>
    <comment ref="C140" authorId="0">
      <text>
        <r>
          <rPr>
            <sz val="8"/>
            <color indexed="81"/>
            <rFont val="Tahoma"/>
            <charset val="204"/>
          </rPr>
          <t>Factor 1,4 is to convert "typical value" into "default value</t>
        </r>
      </text>
    </comment>
    <comment ref="B176" authorId="1">
      <text>
        <r>
          <rPr>
            <sz val="8"/>
            <color indexed="81"/>
            <rFont val="Tahoma"/>
            <charset val="204"/>
          </rPr>
          <t>Annualised emissions from carbon stock changes caused by land-use change, e</t>
        </r>
        <r>
          <rPr>
            <sz val="8"/>
            <color indexed="81"/>
            <rFont val="Tahoma"/>
            <charset val="204"/>
          </rPr>
          <t>l</t>
        </r>
        <r>
          <rPr>
            <sz val="8"/>
            <color indexed="81"/>
            <rFont val="Tahoma"/>
            <charset val="204"/>
          </rPr>
          <t>, shall be calculated by dividing total emissions equally over 20 years. For the calculation of those emissions the following rule shall be applied:
e</t>
        </r>
        <r>
          <rPr>
            <sz val="8"/>
            <color indexed="81"/>
            <rFont val="Tahoma"/>
            <charset val="204"/>
          </rPr>
          <t>l</t>
        </r>
        <r>
          <rPr>
            <sz val="8"/>
            <color indexed="81"/>
            <rFont val="Tahoma"/>
            <charset val="204"/>
          </rPr>
          <t xml:space="preserve"> = (CS</t>
        </r>
        <r>
          <rPr>
            <sz val="8"/>
            <color indexed="81"/>
            <rFont val="Tahoma"/>
            <charset val="204"/>
          </rPr>
          <t>R</t>
        </r>
        <r>
          <rPr>
            <sz val="8"/>
            <color indexed="81"/>
            <rFont val="Tahoma"/>
            <charset val="204"/>
          </rPr>
          <t xml:space="preserve"> – CS</t>
        </r>
        <r>
          <rPr>
            <sz val="8"/>
            <color indexed="81"/>
            <rFont val="Tahoma"/>
            <charset val="204"/>
          </rPr>
          <t>A</t>
        </r>
        <r>
          <rPr>
            <sz val="8"/>
            <color indexed="81"/>
            <rFont val="Tahoma"/>
            <charset val="204"/>
          </rPr>
          <t>) × 3,664 × 1/20 × 1/P – e</t>
        </r>
        <r>
          <rPr>
            <sz val="8"/>
            <color indexed="81"/>
            <rFont val="Tahoma"/>
            <charset val="204"/>
          </rPr>
          <t>B</t>
        </r>
        <r>
          <rPr>
            <sz val="8"/>
            <color indexed="81"/>
            <rFont val="Tahoma"/>
            <charset val="204"/>
          </rPr>
          <t>(1)</t>
        </r>
        <r>
          <rPr>
            <sz val="8"/>
            <color indexed="81"/>
            <rFont val="Tahoma"/>
            <charset val="204"/>
          </rPr>
          <t xml:space="preserve">
where
e</t>
        </r>
        <r>
          <rPr>
            <sz val="8"/>
            <color indexed="81"/>
            <rFont val="Tahoma"/>
            <charset val="204"/>
          </rPr>
          <t>l</t>
        </r>
        <r>
          <rPr>
            <sz val="8"/>
            <color indexed="81"/>
            <rFont val="Tahoma"/>
            <charset val="204"/>
          </rPr>
          <t xml:space="preserve"> = annualised greenhouse gas emissions from carbon stock change due to land-use change (measured as mass of CO</t>
        </r>
        <r>
          <rPr>
            <sz val="8"/>
            <color indexed="81"/>
            <rFont val="Tahoma"/>
            <charset val="204"/>
          </rPr>
          <t>2</t>
        </r>
        <r>
          <rPr>
            <sz val="8"/>
            <color indexed="81"/>
            <rFont val="Tahoma"/>
            <charset val="204"/>
          </rPr>
          <t>-equivalent per unit biofuel energy);
CS</t>
        </r>
        <r>
          <rPr>
            <sz val="8"/>
            <color indexed="81"/>
            <rFont val="Tahoma"/>
            <charset val="204"/>
          </rPr>
          <t>R</t>
        </r>
        <r>
          <rPr>
            <sz val="8"/>
            <color indexed="81"/>
            <rFont val="Tahoma"/>
            <charset val="204"/>
          </rPr>
          <t xml:space="preserve">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t>
        </r>
        <r>
          <rPr>
            <sz val="8"/>
            <color indexed="81"/>
            <rFont val="Tahoma"/>
            <charset val="204"/>
          </rPr>
          <t>A</t>
        </r>
        <r>
          <rPr>
            <sz val="8"/>
            <color indexed="81"/>
            <rFont val="Tahoma"/>
            <charset val="204"/>
          </rPr>
          <t xml:space="preserve"> =the carbon stock per unit area associated with the actual land use (measured as mass of carbon per unit area, including both soil and vegetation). In cases where the carbon stock accumulates over more than one year, the value attributed to CS</t>
        </r>
        <r>
          <rPr>
            <sz val="8"/>
            <color indexed="81"/>
            <rFont val="Tahoma"/>
            <charset val="204"/>
          </rPr>
          <t>A</t>
        </r>
        <r>
          <rPr>
            <sz val="8"/>
            <color indexed="81"/>
            <rFont val="Tahoma"/>
            <charset val="204"/>
          </rPr>
          <t xml:space="preserve"> shall be the estimated stock per unit area after 20 years or when the crop reaches maturity, whichever the earlier;
P =the productivity of the crop (measured as biofuel or bioliquid energy per unit area per year); and
e</t>
        </r>
        <r>
          <rPr>
            <sz val="8"/>
            <color indexed="81"/>
            <rFont val="Tahoma"/>
            <charset val="204"/>
          </rPr>
          <t>B</t>
        </r>
        <r>
          <rPr>
            <sz val="8"/>
            <color indexed="81"/>
            <rFont val="Tahoma"/>
            <charset val="204"/>
          </rPr>
          <t xml:space="preserve"> =bonus of 29 gCO</t>
        </r>
        <r>
          <rPr>
            <sz val="8"/>
            <color indexed="81"/>
            <rFont val="Tahoma"/>
            <charset val="204"/>
          </rPr>
          <t>2eq</t>
        </r>
        <r>
          <rPr>
            <sz val="8"/>
            <color indexed="81"/>
            <rFont val="Tahoma"/>
            <charset val="204"/>
          </rPr>
          <t>/MJ biofuel or bioliquid if biomass is obtained from restored degraded land under the conditions provided for in point 8.
8.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r>
          <rPr>
            <sz val="8"/>
            <color indexed="81"/>
            <rFont val="Tahoma"/>
            <charset val="204"/>
          </rPr>
          <t xml:space="preserve">
</t>
        </r>
        <r>
          <rPr>
            <sz val="8"/>
            <color indexed="81"/>
            <rFont val="Tahoma"/>
            <charset val="204"/>
          </rPr>
          <t xml:space="preserve">
</t>
        </r>
        <r>
          <rPr>
            <sz val="8"/>
            <color indexed="81"/>
            <rFont val="Tahoma"/>
            <charset val="204"/>
          </rPr>
          <t>(1)</t>
        </r>
        <r>
          <rPr>
            <sz val="8"/>
            <color indexed="81"/>
            <rFont val="Tahoma"/>
            <charset val="204"/>
          </rPr>
          <t xml:space="preserve"> </t>
        </r>
        <r>
          <rPr>
            <sz val="8"/>
            <color indexed="81"/>
            <rFont val="Tahoma"/>
            <charset val="204"/>
          </rPr>
          <t xml:space="preserve"> The quotient obtained by dividing the molecular weight of CO</t>
        </r>
        <r>
          <rPr>
            <sz val="8"/>
            <color indexed="81"/>
            <rFont val="Tahoma"/>
            <charset val="204"/>
          </rPr>
          <t>2</t>
        </r>
        <r>
          <rPr>
            <sz val="8"/>
            <color indexed="81"/>
            <rFont val="Tahoma"/>
            <charset val="204"/>
          </rPr>
          <t xml:space="preserve"> (44,010 g/mol) by the molecular weight of carbon (12,011 g/mol) is equal to 3,664.</t>
        </r>
      </text>
    </comment>
    <comment ref="C185" authorId="1">
      <text>
        <r>
          <rPr>
            <sz val="8"/>
            <color indexed="81"/>
            <rFont val="Tahoma"/>
            <charset val="204"/>
          </rPr>
          <t xml:space="preserve">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207" authorId="1">
      <text>
        <r>
          <rPr>
            <sz val="8"/>
            <color indexed="81"/>
            <rFont val="Tahoma"/>
            <charset val="204"/>
          </rPr>
          <t>Emission saving from carbon capture and replacement, e</t>
        </r>
        <r>
          <rPr>
            <sz val="8"/>
            <color indexed="81"/>
            <rFont val="Tahoma"/>
            <charset val="204"/>
          </rPr>
          <t>ccr</t>
        </r>
        <r>
          <rPr>
            <sz val="8"/>
            <color indexed="81"/>
            <rFont val="Tahoma"/>
            <charset val="204"/>
          </rPr>
          <t>, shall be limited to emissions avoided through the capture of CO</t>
        </r>
        <r>
          <rPr>
            <sz val="8"/>
            <color indexed="81"/>
            <rFont val="Tahoma"/>
            <charset val="204"/>
          </rPr>
          <t>2</t>
        </r>
        <r>
          <rPr>
            <sz val="8"/>
            <color indexed="81"/>
            <rFont val="Tahoma"/>
            <charset val="204"/>
          </rPr>
          <t xml:space="preserve"> of which the carbon originates from biomass and which is used to replace fossil-derived CO</t>
        </r>
        <r>
          <rPr>
            <sz val="8"/>
            <color indexed="81"/>
            <rFont val="Tahoma"/>
            <charset val="204"/>
          </rPr>
          <t>2</t>
        </r>
        <r>
          <rPr>
            <sz val="8"/>
            <color indexed="81"/>
            <rFont val="Tahoma"/>
            <charset val="204"/>
          </rPr>
          <t xml:space="preserve"> used in commercial products and services.</t>
        </r>
      </text>
    </comment>
    <comment ref="C213" authorId="1">
      <text>
        <r>
          <rPr>
            <sz val="8"/>
            <color indexed="81"/>
            <rFont val="Tahoma"/>
            <charset val="204"/>
          </rPr>
          <t>Emission saving from carbon capture and geological storage e</t>
        </r>
        <r>
          <rPr>
            <sz val="8"/>
            <color indexed="81"/>
            <rFont val="Tahoma"/>
            <charset val="204"/>
          </rPr>
          <t>ccs</t>
        </r>
        <r>
          <rPr>
            <sz val="8"/>
            <color indexed="81"/>
            <rFont val="Tahoma"/>
            <charset val="204"/>
          </rPr>
          <t>, that have not already been accounted for in e</t>
        </r>
        <r>
          <rPr>
            <sz val="8"/>
            <color indexed="81"/>
            <rFont val="Tahoma"/>
            <charset val="204"/>
          </rPr>
          <t>p</t>
        </r>
        <r>
          <rPr>
            <sz val="8"/>
            <color indexed="81"/>
            <rFont val="Tahoma"/>
            <charset val="204"/>
          </rPr>
          <t>, shall be limited to emissions avoided through the capture and sequestration of emitted CO</t>
        </r>
        <r>
          <rPr>
            <sz val="8"/>
            <color indexed="81"/>
            <rFont val="Tahoma"/>
            <charset val="204"/>
          </rPr>
          <t>2</t>
        </r>
        <r>
          <rPr>
            <sz val="8"/>
            <color indexed="81"/>
            <rFont val="Tahoma"/>
            <charset val="204"/>
          </rPr>
          <t xml:space="preserve"> directly related to the extraction, transport, processing and distribution of fuel.</t>
        </r>
      </text>
    </comment>
  </commentList>
</comments>
</file>

<file path=xl/comments17.xml><?xml version="1.0" encoding="utf-8"?>
<comments xmlns="http://schemas.openxmlformats.org/spreadsheetml/2006/main">
  <authors>
    <author>weindorf</author>
  </authors>
  <commentList>
    <comment ref="M5" authorId="0">
      <text>
        <r>
          <rPr>
            <b/>
            <sz val="8"/>
            <color indexed="81"/>
            <rFont val="Tahoma"/>
            <charset val="204"/>
          </rPr>
          <t>weindorf:</t>
        </r>
        <r>
          <rPr>
            <sz val="8"/>
            <color indexed="81"/>
            <rFont val="Tahoma"/>
            <charset val="204"/>
          </rPr>
          <t xml:space="preserve">
fossil plus nuclear (= non-renewable energy)
In the CONCAWE/EUCAR/JRC study the use of non-renewable energy is meant with "fossel energy" 
Supply and use</t>
        </r>
      </text>
    </comment>
    <comment ref="I6" authorId="0">
      <text>
        <r>
          <rPr>
            <b/>
            <sz val="8"/>
            <color indexed="81"/>
            <rFont val="Tahoma"/>
            <charset val="204"/>
          </rPr>
          <t>weindorf:</t>
        </r>
        <r>
          <rPr>
            <sz val="8"/>
            <color indexed="81"/>
            <rFont val="Tahoma"/>
            <charset val="204"/>
          </rPr>
          <t xml:space="preserve">
supply and use (combustion)</t>
        </r>
      </text>
    </comment>
    <comment ref="L6" authorId="0">
      <text>
        <r>
          <rPr>
            <b/>
            <sz val="8"/>
            <color indexed="81"/>
            <rFont val="Tahoma"/>
            <charset val="204"/>
          </rPr>
          <t>weindorf:</t>
        </r>
        <r>
          <rPr>
            <sz val="8"/>
            <color indexed="81"/>
            <rFont val="Tahoma"/>
            <charset val="204"/>
          </rPr>
          <t xml:space="preserve">
supply and use (combustion)</t>
        </r>
      </text>
    </comment>
  </commentList>
</comments>
</file>

<file path=xl/comments18.xml><?xml version="1.0" encoding="utf-8"?>
<comments xmlns="http://schemas.openxmlformats.org/spreadsheetml/2006/main">
  <authors>
    <author>weindorf</author>
  </authors>
  <commentList>
    <comment ref="M5" authorId="0">
      <text>
        <r>
          <rPr>
            <b/>
            <sz val="8"/>
            <color indexed="81"/>
            <rFont val="Tahoma"/>
            <charset val="204"/>
          </rPr>
          <t>weindorf:</t>
        </r>
        <r>
          <rPr>
            <sz val="8"/>
            <color indexed="81"/>
            <rFont val="Tahoma"/>
            <charset val="204"/>
          </rPr>
          <t xml:space="preserve">
fossil plus nuclear (= non-renewable energy)
In the CONCAWE/EUCAR/JRC study the use of non-renewable energy is meant with "fossel energy" 
Supply and use</t>
        </r>
      </text>
    </comment>
    <comment ref="I6" authorId="0">
      <text>
        <r>
          <rPr>
            <b/>
            <sz val="8"/>
            <color indexed="81"/>
            <rFont val="Tahoma"/>
            <charset val="204"/>
          </rPr>
          <t>weindorf:</t>
        </r>
        <r>
          <rPr>
            <sz val="8"/>
            <color indexed="81"/>
            <rFont val="Tahoma"/>
            <charset val="204"/>
          </rPr>
          <t xml:space="preserve">
supply and use (combustion)</t>
        </r>
      </text>
    </comment>
    <comment ref="L6" authorId="0">
      <text>
        <r>
          <rPr>
            <b/>
            <sz val="8"/>
            <color indexed="81"/>
            <rFont val="Tahoma"/>
            <charset val="204"/>
          </rPr>
          <t>weindorf:</t>
        </r>
        <r>
          <rPr>
            <sz val="8"/>
            <color indexed="81"/>
            <rFont val="Tahoma"/>
            <charset val="204"/>
          </rPr>
          <t xml:space="preserve">
supply and use (combustion)</t>
        </r>
      </text>
    </comment>
  </commentList>
</comments>
</file>

<file path=xl/comments19.xml><?xml version="1.0" encoding="utf-8"?>
<comments xmlns="http://schemas.openxmlformats.org/spreadsheetml/2006/main">
  <authors>
    <author>weindorf</author>
  </authors>
  <commentList>
    <comment ref="M5" authorId="0">
      <text>
        <r>
          <rPr>
            <sz val="8"/>
            <color indexed="81"/>
            <rFont val="Tahoma"/>
            <charset val="204"/>
          </rPr>
          <t>Fossil plus nuclear (= non-renewable energy)
In the CONCAWE/EUCAR/JRC study the use of non-renewable energy is meant with "fossel energy" 
Supply and use</t>
        </r>
      </text>
    </comment>
    <comment ref="I6" authorId="0">
      <text>
        <r>
          <rPr>
            <b/>
            <sz val="8"/>
            <color indexed="81"/>
            <rFont val="Tahoma"/>
            <charset val="204"/>
          </rPr>
          <t>weindorf:</t>
        </r>
        <r>
          <rPr>
            <sz val="8"/>
            <color indexed="81"/>
            <rFont val="Tahoma"/>
            <charset val="204"/>
          </rPr>
          <t xml:space="preserve">
supply and use (combustion)</t>
        </r>
      </text>
    </comment>
    <comment ref="L6" authorId="0">
      <text>
        <r>
          <rPr>
            <b/>
            <sz val="8"/>
            <color indexed="81"/>
            <rFont val="Tahoma"/>
            <charset val="204"/>
          </rPr>
          <t>weindorf:</t>
        </r>
        <r>
          <rPr>
            <sz val="8"/>
            <color indexed="81"/>
            <rFont val="Tahoma"/>
            <charset val="204"/>
          </rPr>
          <t xml:space="preserve">
supply and use (combustion)</t>
        </r>
      </text>
    </comment>
    <comment ref="C20" authorId="0">
      <text>
        <r>
          <rPr>
            <sz val="8"/>
            <color indexed="81"/>
            <rFont val="Tahoma"/>
            <charset val="204"/>
          </rPr>
          <t>No seeding material taken into account for corn in the JEC calculations from 31 July 2008 which have been used for the RED</t>
        </r>
      </text>
    </comment>
    <comment ref="C22" authorId="0">
      <text>
        <r>
          <rPr>
            <sz val="8"/>
            <color indexed="81"/>
            <rFont val="Tahoma"/>
            <charset val="204"/>
          </rPr>
          <t>No seeding material taken into account for soy in the JEC calculations from 31 July 2008 which have been used for the RED</t>
        </r>
      </text>
    </comment>
    <comment ref="C24" authorId="0">
      <text>
        <r>
          <rPr>
            <sz val="8"/>
            <color indexed="81"/>
            <rFont val="Tahoma"/>
            <charset val="204"/>
          </rPr>
          <t>No seeding material taken into account for sugarcane in the JEC calculations from 31 July 2008 which have been used for the RED</t>
        </r>
      </text>
    </comment>
    <comment ref="C29" authorId="0">
      <text>
        <r>
          <rPr>
            <sz val="8"/>
            <color indexed="81"/>
            <rFont val="Tahoma"/>
            <charset val="204"/>
          </rPr>
          <t>No GHG emissions from EFB supply because it is a residue</t>
        </r>
      </text>
    </comment>
    <comment ref="I40" authorId="0">
      <text>
        <r>
          <rPr>
            <sz val="8"/>
            <color indexed="81"/>
            <rFont val="Tahoma"/>
            <charset val="204"/>
          </rPr>
          <t>For the supply of diesel a summarized rounded value has been used in the JEC calculations from 31 July 2008 which have been used for the RED. The CO2 emissions includes also non-CO2 GHG</t>
        </r>
      </text>
    </comment>
    <comment ref="N40" authorId="0">
      <text>
        <r>
          <rPr>
            <sz val="8"/>
            <color indexed="81"/>
            <rFont val="Tahoma"/>
            <charset val="204"/>
          </rPr>
          <t xml:space="preserve">For the supply of diesel a summarized rounded value has been used. </t>
        </r>
      </text>
    </comment>
    <comment ref="I43" authorId="0">
      <text>
        <r>
          <rPr>
            <b/>
            <sz val="8"/>
            <color indexed="81"/>
            <rFont val="Tahoma"/>
            <charset val="204"/>
          </rPr>
          <t>weindorf:</t>
        </r>
        <r>
          <rPr>
            <sz val="8"/>
            <color indexed="81"/>
            <rFont val="Tahoma"/>
            <charset val="204"/>
          </rPr>
          <t xml:space="preserve">
heavy fuel oil used in ships for maritime transport: 290 g CO2 per kWh of heavy fuel oil from combustion</t>
        </r>
      </text>
    </comment>
    <comment ref="I74" authorId="0">
      <text>
        <r>
          <rPr>
            <b/>
            <sz val="8"/>
            <color indexed="81"/>
            <rFont val="Tahoma"/>
            <charset val="204"/>
          </rPr>
          <t>weindorf:</t>
        </r>
        <r>
          <rPr>
            <sz val="8"/>
            <color indexed="81"/>
            <rFont val="Tahoma"/>
            <charset val="204"/>
          </rPr>
          <t xml:space="preserve">
Transport of straw plus fertilizer debit: more fertilizer is required if the straw is removed</t>
        </r>
      </text>
    </comment>
    <comment ref="E92" authorId="0">
      <text>
        <r>
          <rPr>
            <sz val="8"/>
            <color indexed="81"/>
            <rFont val="Tahoma"/>
            <charset val="204"/>
          </rPr>
          <t>Formation of CO2 from combustion or decomposition not taken into account until now in the EU RED</t>
        </r>
      </text>
    </comment>
    <comment ref="E93" authorId="0">
      <text>
        <r>
          <rPr>
            <sz val="8"/>
            <color indexed="81"/>
            <rFont val="Tahoma"/>
            <charset val="204"/>
          </rPr>
          <t>Formation of CO2 from combustion or decomposition not taken into account until now in the EU RED</t>
        </r>
      </text>
    </comment>
    <comment ref="Q98" authorId="0">
      <text>
        <r>
          <rPr>
            <b/>
            <sz val="8"/>
            <color indexed="81"/>
            <rFont val="Tahoma"/>
            <charset val="204"/>
          </rPr>
          <t>weindorf:</t>
        </r>
        <r>
          <rPr>
            <sz val="8"/>
            <color indexed="81"/>
            <rFont val="Tahoma"/>
            <charset val="204"/>
          </rPr>
          <t xml:space="preserve">
this number is used for  FFB tranport in the later versions </t>
        </r>
      </text>
    </comment>
  </commentList>
</comments>
</file>

<file path=xl/comments2.xml><?xml version="1.0" encoding="utf-8"?>
<comments xmlns="http://schemas.openxmlformats.org/spreadsheetml/2006/main">
  <authors>
    <author>neeft</author>
  </authors>
  <commentList>
    <comment ref="D35" authorId="0">
      <text>
        <r>
          <rPr>
            <sz val="8"/>
            <color indexed="81"/>
            <rFont val="Tahoma"/>
            <charset val="204"/>
          </rPr>
          <t>Example 1: Warm temperature moist
Example 2: Tropical moist</t>
        </r>
      </text>
    </comment>
    <comment ref="D36" authorId="0">
      <text>
        <r>
          <rPr>
            <sz val="8"/>
            <color indexed="81"/>
            <rFont val="Tahoma"/>
            <charset val="204"/>
          </rPr>
          <t>Example 1: Cultivated/cropland
Example 2: Palm oil/perennial</t>
        </r>
      </text>
    </comment>
    <comment ref="H36" authorId="0">
      <text>
        <r>
          <rPr>
            <sz val="8"/>
            <color indexed="81"/>
            <rFont val="Tahoma"/>
            <charset val="204"/>
          </rPr>
          <t xml:space="preserve">Example 1: Native forest (&gt;30% canopy cover)
Example 2: Grassland/savannah
</t>
        </r>
      </text>
    </comment>
    <comment ref="D39" authorId="0">
      <text>
        <r>
          <rPr>
            <sz val="8"/>
            <color indexed="81"/>
            <rFont val="Tahoma"/>
            <charset val="204"/>
          </rPr>
          <t>Example 1: not relevant
Example 2: not relevant</t>
        </r>
      </text>
    </comment>
    <comment ref="H39" authorId="0">
      <text>
        <r>
          <rPr>
            <sz val="8"/>
            <color indexed="81"/>
            <rFont val="Tahoma"/>
            <charset val="204"/>
          </rPr>
          <t>Example 1: Oceanic forest
Example 2: not relevant</t>
        </r>
      </text>
    </comment>
    <comment ref="D40" authorId="0">
      <text>
        <r>
          <rPr>
            <sz val="8"/>
            <color indexed="81"/>
            <rFont val="Tahoma"/>
            <charset val="204"/>
          </rPr>
          <t>Example 1: not relevant
Example 2: not relevant</t>
        </r>
      </text>
    </comment>
    <comment ref="H40" authorId="0">
      <text>
        <r>
          <rPr>
            <sz val="8"/>
            <color indexed="81"/>
            <rFont val="Tahoma"/>
            <charset val="204"/>
          </rPr>
          <t>Example 1: Europe
Example 2: not relevant</t>
        </r>
      </text>
    </comment>
    <comment ref="D41" authorId="0">
      <text>
        <r>
          <rPr>
            <sz val="8"/>
            <color indexed="81"/>
            <rFont val="Tahoma"/>
            <charset val="204"/>
          </rPr>
          <t>Example 1:    0
Example 2:   60</t>
        </r>
      </text>
    </comment>
    <comment ref="H41" authorId="0">
      <text>
        <r>
          <rPr>
            <sz val="8"/>
            <color indexed="81"/>
            <rFont val="Tahoma"/>
            <charset val="204"/>
          </rPr>
          <t>Example 1:    84
Example 2:   8,1</t>
        </r>
      </text>
    </comment>
    <comment ref="D45" authorId="0">
      <text>
        <r>
          <rPr>
            <sz val="8"/>
            <color indexed="81"/>
            <rFont val="Tahoma"/>
            <charset val="204"/>
          </rPr>
          <t>Example 1: High activity clay
Example 2: Low activity clay</t>
        </r>
      </text>
    </comment>
    <comment ref="D46" authorId="0">
      <text>
        <r>
          <rPr>
            <sz val="8"/>
            <color indexed="81"/>
            <rFont val="Tahoma"/>
            <charset val="204"/>
          </rPr>
          <t>Example 1: Full-tillage
Example 2: No-till</t>
        </r>
      </text>
    </comment>
    <comment ref="H46" authorId="0">
      <text>
        <r>
          <rPr>
            <sz val="8"/>
            <color indexed="81"/>
            <rFont val="Tahoma"/>
            <charset val="204"/>
          </rPr>
          <t>Example 1:   No till
Example 2:  Nominally managed</t>
        </r>
      </text>
    </comment>
    <comment ref="D47" authorId="0">
      <text>
        <r>
          <rPr>
            <sz val="8"/>
            <color indexed="81"/>
            <rFont val="Tahoma"/>
            <charset val="204"/>
          </rPr>
          <t>Example 1: High without manure
Example 2: Medium</t>
        </r>
      </text>
    </comment>
    <comment ref="H47" authorId="0">
      <text>
        <r>
          <rPr>
            <sz val="8"/>
            <color indexed="81"/>
            <rFont val="Tahoma"/>
            <charset val="204"/>
          </rPr>
          <t>Example 1:   No input
Example 2:   Medium input</t>
        </r>
      </text>
    </comment>
    <comment ref="D49" authorId="0">
      <text>
        <r>
          <rPr>
            <sz val="8"/>
            <color indexed="81"/>
            <rFont val="Tahoma"/>
            <charset val="204"/>
          </rPr>
          <t>Example 1:    88
Example 2:   47</t>
        </r>
      </text>
    </comment>
    <comment ref="D50" authorId="0">
      <text>
        <r>
          <rPr>
            <sz val="8"/>
            <color indexed="81"/>
            <rFont val="Tahoma"/>
            <charset val="204"/>
          </rPr>
          <t>Example 1:  0,69
Example 2:  1</t>
        </r>
      </text>
    </comment>
    <comment ref="H50" authorId="0">
      <text>
        <r>
          <rPr>
            <sz val="8"/>
            <color indexed="81"/>
            <rFont val="Tahoma"/>
            <charset val="204"/>
          </rPr>
          <t>Example 1:   11
Example 2:  1</t>
        </r>
      </text>
    </comment>
    <comment ref="D51" authorId="0">
      <text>
        <r>
          <rPr>
            <sz val="8"/>
            <color indexed="81"/>
            <rFont val="Tahoma"/>
            <charset val="204"/>
          </rPr>
          <t>Example 1:   1
Example 2:   1,22</t>
        </r>
      </text>
    </comment>
    <comment ref="H51" authorId="0">
      <text>
        <r>
          <rPr>
            <sz val="8"/>
            <color indexed="81"/>
            <rFont val="Tahoma"/>
            <charset val="204"/>
          </rPr>
          <t>Example 1:   n/a
Example 2:   1</t>
        </r>
      </text>
    </comment>
    <comment ref="D52" authorId="0">
      <text>
        <r>
          <rPr>
            <sz val="8"/>
            <color indexed="81"/>
            <rFont val="Tahoma"/>
            <charset val="204"/>
          </rPr>
          <t>Example 1:   1,11
Example 2:   1</t>
        </r>
      </text>
    </comment>
    <comment ref="H52" authorId="0">
      <text>
        <r>
          <rPr>
            <sz val="8"/>
            <color indexed="81"/>
            <rFont val="Tahoma"/>
            <charset val="204"/>
          </rPr>
          <t>Example 1:    n/a
Example 2:   1</t>
        </r>
      </text>
    </comment>
  </commentList>
</comments>
</file>

<file path=xl/comments3.xml><?xml version="1.0" encoding="utf-8"?>
<comments xmlns="http://schemas.openxmlformats.org/spreadsheetml/2006/main">
  <authors>
    <author>Yolanda Lechón</author>
    <author>weindorf</author>
  </authors>
  <commentList>
    <comment ref="V54" authorId="0">
      <text>
        <r>
          <rPr>
            <sz val="8"/>
            <color indexed="81"/>
            <rFont val="Tahoma"/>
            <charset val="204"/>
          </rPr>
          <t xml:space="preserve">Grains
</t>
        </r>
      </text>
    </comment>
    <comment ref="W54" authorId="0">
      <text>
        <r>
          <rPr>
            <sz val="8"/>
            <color indexed="81"/>
            <rFont val="Tahoma"/>
            <charset val="204"/>
          </rPr>
          <t xml:space="preserve">Grains
</t>
        </r>
      </text>
    </comment>
    <comment ref="AC54" authorId="0">
      <text>
        <r>
          <rPr>
            <sz val="8"/>
            <color indexed="81"/>
            <rFont val="Tahoma"/>
            <charset val="204"/>
          </rPr>
          <t xml:space="preserve">Grains
</t>
        </r>
      </text>
    </comment>
    <comment ref="V55" authorId="0">
      <text>
        <r>
          <rPr>
            <sz val="8"/>
            <color indexed="81"/>
            <rFont val="Tahoma"/>
            <charset val="204"/>
          </rPr>
          <t xml:space="preserve">Grains
</t>
        </r>
      </text>
    </comment>
    <comment ref="W55" authorId="0">
      <text>
        <r>
          <rPr>
            <sz val="8"/>
            <color indexed="81"/>
            <rFont val="Tahoma"/>
            <charset val="204"/>
          </rPr>
          <t xml:space="preserve">Grains
</t>
        </r>
      </text>
    </comment>
    <comment ref="AC55" authorId="0">
      <text>
        <r>
          <rPr>
            <sz val="8"/>
            <color indexed="81"/>
            <rFont val="Tahoma"/>
            <charset val="204"/>
          </rPr>
          <t>Grains</t>
        </r>
      </text>
    </comment>
    <comment ref="AC56" authorId="1">
      <text>
        <r>
          <rPr>
            <sz val="8"/>
            <color indexed="81"/>
            <rFont val="Tahoma"/>
            <charset val="204"/>
          </rPr>
          <t xml:space="preserve">A value of 0.074 has been used in the JEC calculations instead of the default value of 0.008 in IPCC
From file "updated figures communicated _ update on data on pathways for Res Directive.xls"
</t>
        </r>
      </text>
    </comment>
    <comment ref="F66" authorId="0">
      <text>
        <r>
          <rPr>
            <b/>
            <sz val="8"/>
            <color indexed="81"/>
            <rFont val="Tahoma"/>
            <charset val="204"/>
          </rPr>
          <t>Yolanda Lechón:</t>
        </r>
        <r>
          <rPr>
            <sz val="8"/>
            <color indexed="81"/>
            <rFont val="Tahoma"/>
            <charset val="204"/>
          </rPr>
          <t xml:space="preserve">
0.0085 г N2O/кг суха речовина цукрового очерету.
З файлу Pathways_for_ DGTREN_19April2010.xls0.0085 </t>
        </r>
      </text>
    </comment>
  </commentList>
</comments>
</file>

<file path=xl/comments4.xml><?xml version="1.0" encoding="utf-8"?>
<comments xmlns="http://schemas.openxmlformats.org/spreadsheetml/2006/main">
  <authors>
    <author>Yolanda Lechón</author>
    <author>weindorf</author>
  </authors>
  <commentList>
    <comment ref="V48" authorId="0">
      <text>
        <r>
          <rPr>
            <sz val="8"/>
            <color indexed="81"/>
            <rFont val="Tahoma"/>
            <charset val="204"/>
          </rPr>
          <t xml:space="preserve">Grains
</t>
        </r>
      </text>
    </comment>
    <comment ref="W48" authorId="0">
      <text>
        <r>
          <rPr>
            <sz val="8"/>
            <color indexed="81"/>
            <rFont val="Tahoma"/>
            <charset val="204"/>
          </rPr>
          <t xml:space="preserve">Grains
</t>
        </r>
      </text>
    </comment>
    <comment ref="AC48" authorId="0">
      <text>
        <r>
          <rPr>
            <sz val="8"/>
            <color indexed="81"/>
            <rFont val="Tahoma"/>
            <charset val="204"/>
          </rPr>
          <t xml:space="preserve">Grains
</t>
        </r>
      </text>
    </comment>
    <comment ref="V49" authorId="0">
      <text>
        <r>
          <rPr>
            <sz val="8"/>
            <color indexed="81"/>
            <rFont val="Tahoma"/>
            <charset val="204"/>
          </rPr>
          <t xml:space="preserve">Grains
</t>
        </r>
      </text>
    </comment>
    <comment ref="W49" authorId="0">
      <text>
        <r>
          <rPr>
            <sz val="8"/>
            <color indexed="81"/>
            <rFont val="Tahoma"/>
            <charset val="204"/>
          </rPr>
          <t xml:space="preserve">Grains
</t>
        </r>
      </text>
    </comment>
    <comment ref="AC49" authorId="0">
      <text>
        <r>
          <rPr>
            <sz val="8"/>
            <color indexed="81"/>
            <rFont val="Tahoma"/>
            <charset val="204"/>
          </rPr>
          <t>Grains</t>
        </r>
      </text>
    </comment>
    <comment ref="AC50" authorId="1">
      <text>
        <r>
          <rPr>
            <sz val="8"/>
            <color indexed="81"/>
            <rFont val="Tahoma"/>
            <charset val="204"/>
          </rPr>
          <t xml:space="preserve">A value of 0.074 has been used in the JEC calculations instead of the default value of 0.008 in IPCC
From file "updated figures communicated _ update on data on pathways for Res Directive.xls"
</t>
        </r>
      </text>
    </comment>
    <comment ref="F60" authorId="0">
      <text>
        <r>
          <rPr>
            <b/>
            <sz val="8"/>
            <color indexed="81"/>
            <rFont val="Tahoma"/>
            <charset val="204"/>
          </rPr>
          <t>Yolanda Lechón:</t>
        </r>
        <r>
          <rPr>
            <sz val="8"/>
            <color indexed="81"/>
            <rFont val="Tahoma"/>
            <charset val="204"/>
          </rPr>
          <t xml:space="preserve">
0.0085 g N2O/kg sugar cane dry  matter.
From the file Pathways_for_ DGTREN_19April2010.xls
</t>
        </r>
      </text>
    </comment>
  </commentList>
</comments>
</file>

<file path=xl/comments5.xml><?xml version="1.0" encoding="utf-8"?>
<comments xmlns="http://schemas.openxmlformats.org/spreadsheetml/2006/main">
  <authors>
    <author>Yolanda Lechón</author>
    <author>weindorf</author>
  </authors>
  <commentList>
    <comment ref="V48" authorId="0">
      <text>
        <r>
          <rPr>
            <sz val="8"/>
            <color indexed="81"/>
            <rFont val="Tahoma"/>
            <charset val="204"/>
          </rPr>
          <t xml:space="preserve">Grains
</t>
        </r>
      </text>
    </comment>
    <comment ref="W48" authorId="0">
      <text>
        <r>
          <rPr>
            <sz val="8"/>
            <color indexed="81"/>
            <rFont val="Tahoma"/>
            <charset val="204"/>
          </rPr>
          <t xml:space="preserve">Grains
</t>
        </r>
      </text>
    </comment>
    <comment ref="AC48" authorId="0">
      <text>
        <r>
          <rPr>
            <sz val="8"/>
            <color indexed="81"/>
            <rFont val="Tahoma"/>
            <charset val="204"/>
          </rPr>
          <t xml:space="preserve">Grains
</t>
        </r>
      </text>
    </comment>
    <comment ref="V49" authorId="0">
      <text>
        <r>
          <rPr>
            <sz val="8"/>
            <color indexed="81"/>
            <rFont val="Tahoma"/>
            <charset val="204"/>
          </rPr>
          <t xml:space="preserve">Grains
</t>
        </r>
      </text>
    </comment>
    <comment ref="W49" authorId="0">
      <text>
        <r>
          <rPr>
            <sz val="8"/>
            <color indexed="81"/>
            <rFont val="Tahoma"/>
            <charset val="204"/>
          </rPr>
          <t xml:space="preserve">Grains
</t>
        </r>
      </text>
    </comment>
    <comment ref="AC49" authorId="0">
      <text>
        <r>
          <rPr>
            <sz val="8"/>
            <color indexed="81"/>
            <rFont val="Tahoma"/>
            <charset val="204"/>
          </rPr>
          <t>Grains</t>
        </r>
      </text>
    </comment>
    <comment ref="AC50" authorId="1">
      <text>
        <r>
          <rPr>
            <sz val="8"/>
            <color indexed="81"/>
            <rFont val="Tahoma"/>
            <charset val="204"/>
          </rPr>
          <t xml:space="preserve">A value of 0.074 has been used in the JEC calculations instead of the default value of 0.008 in IPCC
From file "updated figures communicated _ update on data on pathways for Res Directive.xls"
</t>
        </r>
      </text>
    </comment>
    <comment ref="F60" authorId="0">
      <text>
        <r>
          <rPr>
            <b/>
            <sz val="8"/>
            <color indexed="81"/>
            <rFont val="Tahoma"/>
            <charset val="204"/>
          </rPr>
          <t>Yolanda Lechón:</t>
        </r>
        <r>
          <rPr>
            <sz val="8"/>
            <color indexed="81"/>
            <rFont val="Tahoma"/>
            <charset val="204"/>
          </rPr>
          <t xml:space="preserve">
0.0085 г N2O/кг суха речовина цукрового очерету.
З файлу Pathways_for_ DGTREN_19April2010.xls</t>
        </r>
      </text>
    </comment>
  </commentList>
</comments>
</file>

<file path=xl/comments6.xml><?xml version="1.0" encoding="utf-8"?>
<comments xmlns="http://schemas.openxmlformats.org/spreadsheetml/2006/main">
  <authors>
    <author>Yolanda Lechón</author>
    <author>weindorf</author>
  </authors>
  <commentList>
    <comment ref="V48" authorId="0">
      <text>
        <r>
          <rPr>
            <sz val="8"/>
            <color indexed="81"/>
            <rFont val="Tahoma"/>
            <charset val="204"/>
          </rPr>
          <t xml:space="preserve">Grains
</t>
        </r>
      </text>
    </comment>
    <comment ref="W48" authorId="0">
      <text>
        <r>
          <rPr>
            <sz val="8"/>
            <color indexed="81"/>
            <rFont val="Tahoma"/>
            <charset val="204"/>
          </rPr>
          <t xml:space="preserve">Grains
</t>
        </r>
      </text>
    </comment>
    <comment ref="AC48" authorId="0">
      <text>
        <r>
          <rPr>
            <sz val="8"/>
            <color indexed="81"/>
            <rFont val="Tahoma"/>
            <charset val="204"/>
          </rPr>
          <t xml:space="preserve">Grains
</t>
        </r>
      </text>
    </comment>
    <comment ref="V49" authorId="0">
      <text>
        <r>
          <rPr>
            <sz val="8"/>
            <color indexed="81"/>
            <rFont val="Tahoma"/>
            <charset val="204"/>
          </rPr>
          <t xml:space="preserve">Grains
</t>
        </r>
      </text>
    </comment>
    <comment ref="W49" authorId="0">
      <text>
        <r>
          <rPr>
            <sz val="8"/>
            <color indexed="81"/>
            <rFont val="Tahoma"/>
            <charset val="204"/>
          </rPr>
          <t xml:space="preserve">Grains
</t>
        </r>
      </text>
    </comment>
    <comment ref="AC49" authorId="0">
      <text>
        <r>
          <rPr>
            <sz val="8"/>
            <color indexed="81"/>
            <rFont val="Tahoma"/>
            <charset val="204"/>
          </rPr>
          <t>Grains</t>
        </r>
      </text>
    </comment>
    <comment ref="AC50" authorId="1">
      <text>
        <r>
          <rPr>
            <sz val="8"/>
            <color indexed="81"/>
            <rFont val="Tahoma"/>
            <charset val="204"/>
          </rPr>
          <t xml:space="preserve">A value of 0.074 has been used in the JEC calculations instead of the default value of 0.008 in IPCC
From file "updated figures communicated _ update on data on pathways for Res Directive.xls"
</t>
        </r>
      </text>
    </comment>
    <comment ref="F60" authorId="0">
      <text>
        <r>
          <rPr>
            <b/>
            <sz val="8"/>
            <color indexed="81"/>
            <rFont val="Tahoma"/>
            <charset val="204"/>
          </rPr>
          <t>Yolanda Lechón:</t>
        </r>
        <r>
          <rPr>
            <sz val="8"/>
            <color indexed="81"/>
            <rFont val="Tahoma"/>
            <charset val="204"/>
          </rPr>
          <t xml:space="preserve">
0.0085 g N2O/kg sugar cane dry  matter.
From the file Pathways_for_ DGTREN_19April2010.xls
</t>
        </r>
      </text>
    </comment>
  </commentList>
</comments>
</file>

<file path=xl/comments7.xml><?xml version="1.0" encoding="utf-8"?>
<comments xmlns="http://schemas.openxmlformats.org/spreadsheetml/2006/main">
  <authors>
    <author>neeft</author>
    <author>sbu</author>
  </authors>
  <commentList>
    <comment ref="H7" authorId="0">
      <text>
        <r>
          <rPr>
            <sz val="8"/>
            <color indexed="81"/>
            <rFont val="Tahoma"/>
            <charset val="204"/>
          </rPr>
          <t>Дане значення не включено до RED. Розраховане на базі вхідних даних JEC, як описано в аркуші "Опис"</t>
        </r>
      </text>
    </comment>
    <comment ref="H9"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1"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2" authorId="0">
      <text>
        <r>
          <rPr>
            <sz val="8"/>
            <color indexed="81"/>
            <rFont val="Tahoma"/>
            <charset val="204"/>
          </rPr>
          <t>Дане значення не включено до RED. Розраховане на базі вхідних даних JEC, як описано в аркуші "Опис"</t>
        </r>
      </text>
    </comment>
    <comment ref="H13" authorId="0">
      <text>
        <r>
          <rPr>
            <sz val="8"/>
            <color indexed="81"/>
            <rFont val="Tahoma"/>
            <charset val="204"/>
          </rPr>
          <t>Дане значення не включено до RED. Розраховане на базі вхідних даних JEC, як описано в аркуші "Опис"</t>
        </r>
      </text>
    </comment>
    <comment ref="C59" authorId="0">
      <text>
        <r>
          <rPr>
            <sz val="8"/>
            <color indexed="81"/>
            <rFont val="Tahoma"/>
            <charset val="204"/>
          </rPr>
          <t>Чинник 1,4 конвертує "типові значення" у "значення за замовчуванням"</t>
        </r>
      </text>
    </comment>
    <comment ref="C60" authorId="0">
      <text>
        <r>
          <rPr>
            <sz val="8"/>
            <color indexed="81"/>
            <rFont val="Tahoma"/>
            <charset val="204"/>
          </rPr>
          <t>Чинник 1,4 конвертує "типові значення" у "значення за замовчуванням"</t>
        </r>
      </text>
    </comment>
    <comment ref="B102" authorId="1">
      <text>
        <r>
          <rPr>
            <sz val="8"/>
            <color indexed="81"/>
            <rFont val="Tahoma"/>
            <charset val="204"/>
          </rPr>
          <t>Річні викиди від вуглецевих запасів, пов'язаних зі зміною в землекористуванні (EL), обчислюється шляхом ділення загального обсягу викидів в рівній мірі протягом 20 років. Для розрахунку цих викидів застосовується наступне рівняння: 
el = (CSR – CSA) × 3,664 × 1/20 × 1/P – eB(1)
where
el = annualised greenhouse gas emissions from carbon stock change due to land-use change (measured as mass of CO2-equivalent per unit biofuel energy);
CSR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CSA =the carbon stock per unit area associated with the actual land use (measured as mass of carbon per unit area, including both soil and vegetation). In cases where the carbon stock accumulates over more than one year, the value attributed to CSA shall be the estimated stock per unit area after 20 years or when the crop reaches maturity, whichever the earlier;
P =the productivity of the crop (measured as biofuel or bioliquid energy per unit area per year); and
eB =bonus of 29 gCO2eq/MJ biofuel or bioliquid if biomass is obtained from restored degraded land under the conditions provided for in point 8.
8.
The bonus of 29 gCO2eq/MJ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gCO2eq/MJ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
(1)  The quotient obtained by dividing the molecular weight of CO2 (44,010 g/mol) by the molecular weight of carbon (12,011 g/mol) is equal to 3,664.</t>
        </r>
      </text>
    </comment>
    <comment ref="C111" authorId="1">
      <text>
        <r>
          <rPr>
            <sz val="8"/>
            <color indexed="81"/>
            <rFont val="Tahoma"/>
            <charset val="204"/>
          </rPr>
          <t xml:space="preserve">Бонус 29 гCO2екв / МДж повинен бути внесений, якщо надані свідчення, що земля:
(а) не була у використана для сільськогосподарства або будь-якої іншої діяльності, у січні 2008 року; і
(б) потрапляє в одну з наступних категорій:
   (І) строго деградованих земель, у тому числі таких земель, які раніше перебували у сільськогосподарському використанні;
   (II) сильно забруднені землі.
Бонус 29 гCO2екв / МДж застосовуються протягом 10 років з дати конвертації земель у сільськогосподарське використання. Забезпечується за умови стійкості зростання вуглецевих запасів, а також значного скорочення ерозії, для земель, що підпадають під категорію (І) і знижується за умови забруднення ґрунту землі, що підпадають під категорію (II). 
</t>
        </r>
      </text>
    </comment>
    <comment ref="C133" authorId="1">
      <text>
        <r>
          <rPr>
            <sz val="8"/>
            <color indexed="81"/>
            <rFont val="Tahoma"/>
            <charset val="204"/>
          </rPr>
          <t xml:space="preserve">Збереження викидів від уловлювання та заміни СО2, </t>
        </r>
        <r>
          <rPr>
            <sz val="10"/>
            <color indexed="81"/>
            <rFont val="Tahoma"/>
            <family val="2"/>
            <charset val="204"/>
          </rPr>
          <t>e</t>
        </r>
        <r>
          <rPr>
            <sz val="8"/>
            <color indexed="81"/>
            <rFont val="Tahoma"/>
            <charset val="204"/>
          </rPr>
          <t xml:space="preserve">ccr, повинні бути обмежені викидами, шляхом уловлювання СО2 від біомаси, що використовується для заміни викопного СО2 , використаного у комерційних продуктах і послугах. </t>
        </r>
      </text>
    </comment>
    <comment ref="C139" authorId="1">
      <text>
        <r>
          <rPr>
            <sz val="8"/>
            <color indexed="81"/>
            <rFont val="Tahoma"/>
            <charset val="204"/>
          </rPr>
          <t>Збереження викидів від уловлювання та геологічного збереження CO2, що не були враховані ep, повинні бути обмежені викидами, шляхом уловлювання та поглинання CO2, безпосередньо пов'язаних з видобуванням, транспортуванням, обробкою та розповсюдженням палива.</t>
        </r>
      </text>
    </comment>
  </commentList>
</comments>
</file>

<file path=xl/comments8.xml><?xml version="1.0" encoding="utf-8"?>
<comments xmlns="http://schemas.openxmlformats.org/spreadsheetml/2006/main">
  <authors>
    <author>neeft</author>
    <author>sbu</author>
  </authors>
  <commentList>
    <comment ref="H7" authorId="0">
      <text>
        <r>
          <rPr>
            <sz val="8"/>
            <color indexed="81"/>
            <rFont val="Tahoma"/>
            <charset val="204"/>
          </rPr>
          <t>This value is not listed in the RED. 
It has been calculated on the basis of the JEC input, as is explained in "About"</t>
        </r>
      </text>
    </comment>
    <comment ref="H9" authorId="0">
      <text>
        <r>
          <rPr>
            <sz val="8"/>
            <color indexed="81"/>
            <rFont val="Tahoma"/>
            <charset val="204"/>
          </rPr>
          <t>This value is not listed in the RED. 
It has been calculated on the basis of the JEC input, as is explained in "About"</t>
        </r>
      </text>
    </comment>
    <comment ref="H11" authorId="0">
      <text>
        <r>
          <rPr>
            <sz val="8"/>
            <color indexed="81"/>
            <rFont val="Tahoma"/>
            <charset val="204"/>
          </rPr>
          <t>This value is not listed in the RED. 
It has been calculated on the basis of the JEC input, as is explained in "About"</t>
        </r>
      </text>
    </comment>
    <comment ref="H12" authorId="0">
      <text>
        <r>
          <rPr>
            <sz val="8"/>
            <color indexed="81"/>
            <rFont val="Tahoma"/>
            <charset val="204"/>
          </rPr>
          <t>This value is not listed in the RED. 
It has been calculated on the basis of the JEC input, as is explained in "About"</t>
        </r>
      </text>
    </comment>
    <comment ref="H13" authorId="0">
      <text>
        <r>
          <rPr>
            <sz val="8"/>
            <color indexed="81"/>
            <rFont val="Tahoma"/>
            <charset val="204"/>
          </rPr>
          <t>This value is not listed in the RED. 
It has been calculated on the basis of the JEC input, as is explained in "About"</t>
        </r>
      </text>
    </comment>
    <comment ref="C59" authorId="0">
      <text>
        <r>
          <rPr>
            <sz val="8"/>
            <color indexed="81"/>
            <rFont val="Tahoma"/>
            <charset val="204"/>
          </rPr>
          <t>Factor 1,4 is to convert "typical value" into "default value</t>
        </r>
      </text>
    </comment>
    <comment ref="C60" authorId="0">
      <text>
        <r>
          <rPr>
            <sz val="8"/>
            <color indexed="81"/>
            <rFont val="Tahoma"/>
            <charset val="204"/>
          </rPr>
          <t>Factor 1,4 is to convert "typical value" into "default value</t>
        </r>
      </text>
    </comment>
    <comment ref="B102" authorId="1">
      <text>
        <r>
          <rPr>
            <sz val="8"/>
            <color indexed="81"/>
            <rFont val="Tahoma"/>
            <charset val="204"/>
          </rPr>
          <t xml:space="preserve">Річні викиди від вуглецевих запасів, пов'язаних зі зміною в землекористуванні (EL), обчислюються шляхом ділення загального обсягу викидів в рівній мірі протягом 20 років. Для розрахунку цих викидів застосовується наступне рівняння: 
el = (CSR – CSA) × 3,664 × 1/20 × 1/P – eB(1)
де
el = річна викиди парникових газів від зміни вуглецевих запасів через зміни у землекористуванні (вимірюється як маса еквівалента CO2 на одиницю енергії біопалива);
CSR =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пізніше;
вуглецеві запаси на одиницю площі, пов'язані із посиланням на землекористуванням (вимірюється як маса вуглецю на одиницю площі, в тому числі ґрунту і рослинності). Посилання на землекористуванням повинно бути землекористуванням на січень 2008 року чи на 20 років раніше отримання сировинного матеріалу, в залежності від того, який з цих факторів настав раніше; 
CSA = вуглецеві запаси на одиницю площі, пов'язані з фактичним землекористуванням (вимірюється як маса вуглецю на одиницю площі, в тому числі грунти та рослинність). У випадках, коли вуглецеві запаси накопичуються протягом більш ніж одного року, значення, що віднесені до CSA повинні бути оцінені як запаси на одиницю площі після 20 років або коли врожай досягає зрілості, в залежності від того, який з цих факторів настав раніше;
P = продуктивність врожаю (вимірюється в якості біопалива або біорідини на одиницю площі в рік); та
eB = бонус 29 гCO2екв / МДж біопалива або біорідини, якщо біомаса виходить з відновлених деградованих земель в умовах, передбачених у пункті нижче. 
</t>
        </r>
      </text>
    </comment>
    <comment ref="C111" authorId="1">
      <text>
        <r>
          <rPr>
            <sz val="8"/>
            <color indexed="81"/>
            <rFont val="Tahoma"/>
            <charset val="204"/>
          </rPr>
          <t xml:space="preserve">
The bonus of 29 gCO</t>
        </r>
        <r>
          <rPr>
            <sz val="8"/>
            <color indexed="81"/>
            <rFont val="Tahoma"/>
            <charset val="204"/>
          </rPr>
          <t>2eq</t>
        </r>
        <r>
          <rPr>
            <sz val="8"/>
            <color indexed="81"/>
            <rFont val="Tahoma"/>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sz val="8"/>
            <color indexed="81"/>
            <rFont val="Tahoma"/>
            <charset val="204"/>
          </rPr>
          <t>2eq</t>
        </r>
        <r>
          <rPr>
            <sz val="8"/>
            <color indexed="81"/>
            <rFont val="Tahoma"/>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133" authorId="1">
      <text>
        <r>
          <rPr>
            <sz val="8"/>
            <color indexed="81"/>
            <rFont val="Tahoma"/>
            <charset val="204"/>
          </rPr>
          <t>Emission saving from carbon capture and replacement, e</t>
        </r>
        <r>
          <rPr>
            <sz val="8"/>
            <color indexed="81"/>
            <rFont val="Tahoma"/>
            <charset val="204"/>
          </rPr>
          <t>ccr</t>
        </r>
        <r>
          <rPr>
            <sz val="8"/>
            <color indexed="81"/>
            <rFont val="Tahoma"/>
            <charset val="204"/>
          </rPr>
          <t>, shall be limited to emissions avoided through the capture of CO</t>
        </r>
        <r>
          <rPr>
            <sz val="8"/>
            <color indexed="81"/>
            <rFont val="Tahoma"/>
            <charset val="204"/>
          </rPr>
          <t>2</t>
        </r>
        <r>
          <rPr>
            <sz val="8"/>
            <color indexed="81"/>
            <rFont val="Tahoma"/>
            <charset val="204"/>
          </rPr>
          <t xml:space="preserve"> of which the carbon originates from biomass and which is used to replace fossil-derived CO</t>
        </r>
        <r>
          <rPr>
            <sz val="8"/>
            <color indexed="81"/>
            <rFont val="Tahoma"/>
            <charset val="204"/>
          </rPr>
          <t>2</t>
        </r>
        <r>
          <rPr>
            <sz val="8"/>
            <color indexed="81"/>
            <rFont val="Tahoma"/>
            <charset val="204"/>
          </rPr>
          <t xml:space="preserve"> used in commercial products and services.</t>
        </r>
      </text>
    </comment>
    <comment ref="C139" authorId="1">
      <text>
        <r>
          <rPr>
            <sz val="8"/>
            <color indexed="81"/>
            <rFont val="Tahoma"/>
            <charset val="204"/>
          </rPr>
          <t>Emission saving from carbon capture and geological storage e</t>
        </r>
        <r>
          <rPr>
            <sz val="8"/>
            <color indexed="81"/>
            <rFont val="Tahoma"/>
            <charset val="204"/>
          </rPr>
          <t>ccs</t>
        </r>
        <r>
          <rPr>
            <sz val="8"/>
            <color indexed="81"/>
            <rFont val="Tahoma"/>
            <charset val="204"/>
          </rPr>
          <t>, that have not already been accounted for in e</t>
        </r>
        <r>
          <rPr>
            <sz val="8"/>
            <color indexed="81"/>
            <rFont val="Tahoma"/>
            <charset val="204"/>
          </rPr>
          <t>p</t>
        </r>
        <r>
          <rPr>
            <sz val="8"/>
            <color indexed="81"/>
            <rFont val="Tahoma"/>
            <charset val="204"/>
          </rPr>
          <t>, shall be limited to emissions avoided through the capture and sequestration of emitted CO</t>
        </r>
        <r>
          <rPr>
            <sz val="8"/>
            <color indexed="81"/>
            <rFont val="Tahoma"/>
            <charset val="204"/>
          </rPr>
          <t>2</t>
        </r>
        <r>
          <rPr>
            <sz val="8"/>
            <color indexed="81"/>
            <rFont val="Tahoma"/>
            <charset val="204"/>
          </rPr>
          <t xml:space="preserve"> directly related to the extraction, transport, processing and distribution of fuel.</t>
        </r>
      </text>
    </comment>
  </commentList>
</comments>
</file>

<file path=xl/comments9.xml><?xml version="1.0" encoding="utf-8"?>
<comments xmlns="http://schemas.openxmlformats.org/spreadsheetml/2006/main">
  <authors>
    <author>neeft</author>
    <author>sbu</author>
  </authors>
  <commentList>
    <comment ref="C53" authorId="0">
      <text>
        <r>
          <rPr>
            <sz val="8"/>
            <color indexed="81"/>
            <rFont val="Tahoma"/>
            <charset val="204"/>
          </rPr>
          <t>Factor 1,4 is to convert "typical value" into "default value</t>
        </r>
      </text>
    </comment>
    <comment ref="C73" authorId="0">
      <text>
        <r>
          <rPr>
            <sz val="8"/>
            <color indexed="81"/>
            <rFont val="Tahoma"/>
            <charset val="204"/>
          </rPr>
          <t>Factor 1,4 is to convert "typical value" into "default value</t>
        </r>
      </text>
    </comment>
    <comment ref="C74" authorId="0">
      <text>
        <r>
          <rPr>
            <sz val="8"/>
            <color indexed="81"/>
            <rFont val="Tahoma"/>
            <charset val="204"/>
          </rPr>
          <t>Factor 1,4 is to convert "typical value" into "default value</t>
        </r>
      </text>
    </comment>
    <comment ref="C83" authorId="0">
      <text>
        <r>
          <rPr>
            <sz val="8"/>
            <color indexed="81"/>
            <rFont val="Tahoma"/>
            <charset val="204"/>
          </rPr>
          <t>Factor 1,4 is to convert "typical value" into "default value</t>
        </r>
      </text>
    </comment>
    <comment ref="B110" authorId="1">
      <text>
        <r>
          <rPr>
            <sz val="10"/>
            <color indexed="81"/>
            <rFont val="Arial"/>
            <family val="2"/>
            <charset val="204"/>
          </rPr>
          <t>Annualised emissions from carbon stock changes caused by land-use change, e</t>
        </r>
        <r>
          <rPr>
            <vertAlign val="subscript"/>
            <sz val="10"/>
            <color indexed="81"/>
            <rFont val="Arial"/>
            <family val="2"/>
            <charset val="204"/>
          </rPr>
          <t>l</t>
        </r>
        <r>
          <rPr>
            <sz val="10"/>
            <color indexed="81"/>
            <rFont val="Arial"/>
            <family val="2"/>
            <charset val="204"/>
          </rPr>
          <t>, shall be calculated by dividing total emissions equally over 20 years. For the calculation of those emissions the following rule shall be applied:
e</t>
        </r>
        <r>
          <rPr>
            <vertAlign val="subscript"/>
            <sz val="10"/>
            <color indexed="81"/>
            <rFont val="Arial"/>
            <family val="2"/>
            <charset val="204"/>
          </rPr>
          <t>l</t>
        </r>
        <r>
          <rPr>
            <sz val="10"/>
            <color indexed="81"/>
            <rFont val="Arial"/>
            <family val="2"/>
            <charset val="204"/>
          </rPr>
          <t xml:space="preserve"> = (CS</t>
        </r>
        <r>
          <rPr>
            <vertAlign val="subscript"/>
            <sz val="10"/>
            <color indexed="81"/>
            <rFont val="Arial"/>
            <family val="2"/>
            <charset val="204"/>
          </rPr>
          <t>R</t>
        </r>
        <r>
          <rPr>
            <sz val="10"/>
            <color indexed="81"/>
            <rFont val="Arial"/>
            <family val="2"/>
            <charset val="204"/>
          </rPr>
          <t xml:space="preserve"> – CS</t>
        </r>
        <r>
          <rPr>
            <vertAlign val="subscript"/>
            <sz val="10"/>
            <color indexed="81"/>
            <rFont val="Arial"/>
            <family val="2"/>
            <charset val="204"/>
          </rPr>
          <t>A</t>
        </r>
        <r>
          <rPr>
            <sz val="10"/>
            <color indexed="81"/>
            <rFont val="Arial"/>
            <family val="2"/>
            <charset val="204"/>
          </rPr>
          <t>) × 3,664 × 1/20 × 1/P – e</t>
        </r>
        <r>
          <rPr>
            <vertAlign val="subscript"/>
            <sz val="10"/>
            <color indexed="81"/>
            <rFont val="Arial"/>
            <family val="2"/>
            <charset val="204"/>
          </rPr>
          <t>B</t>
        </r>
        <r>
          <rPr>
            <vertAlign val="superscript"/>
            <sz val="10"/>
            <color indexed="81"/>
            <rFont val="Arial"/>
            <family val="2"/>
            <charset val="204"/>
          </rPr>
          <t>(1)</t>
        </r>
        <r>
          <rPr>
            <sz val="10"/>
            <color indexed="81"/>
            <rFont val="Arial"/>
            <family val="2"/>
            <charset val="204"/>
          </rPr>
          <t xml:space="preserve">
where
e</t>
        </r>
        <r>
          <rPr>
            <vertAlign val="subscript"/>
            <sz val="10"/>
            <color indexed="81"/>
            <rFont val="Arial"/>
            <family val="2"/>
            <charset val="204"/>
          </rPr>
          <t>l</t>
        </r>
        <r>
          <rPr>
            <sz val="10"/>
            <color indexed="81"/>
            <rFont val="Arial"/>
            <family val="2"/>
            <charset val="204"/>
          </rPr>
          <t xml:space="preserve"> = annualised greenhouse gas emissions from carbon stock change due to land-use change (measured as mass of CO</t>
        </r>
        <r>
          <rPr>
            <vertAlign val="subscript"/>
            <sz val="10"/>
            <color indexed="81"/>
            <rFont val="Arial"/>
            <family val="2"/>
            <charset val="204"/>
          </rPr>
          <t>2</t>
        </r>
        <r>
          <rPr>
            <sz val="10"/>
            <color indexed="81"/>
            <rFont val="Arial"/>
            <family val="2"/>
            <charset val="204"/>
          </rPr>
          <t>-equivalent per unit biofuel energy);
CS</t>
        </r>
        <r>
          <rPr>
            <vertAlign val="subscript"/>
            <sz val="10"/>
            <color indexed="81"/>
            <rFont val="Arial"/>
            <family val="2"/>
            <charset val="204"/>
          </rPr>
          <t>R</t>
        </r>
        <r>
          <rPr>
            <sz val="10"/>
            <color indexed="81"/>
            <rFont val="Arial"/>
            <family val="2"/>
            <charset val="204"/>
          </rPr>
          <t xml:space="preserve"> = the carbon stock per unit area associated with the reference land use (measured as mass of carbon per unit area, including both soil and vegetation). The reference land use shall be the land use in January 2008 or 20 years before the raw material was obtained, whichever was the later;
CS</t>
        </r>
        <r>
          <rPr>
            <vertAlign val="subscript"/>
            <sz val="10"/>
            <color indexed="81"/>
            <rFont val="Arial"/>
            <family val="2"/>
            <charset val="204"/>
          </rPr>
          <t>A</t>
        </r>
        <r>
          <rPr>
            <sz val="10"/>
            <color indexed="81"/>
            <rFont val="Arial"/>
            <family val="2"/>
            <charset val="204"/>
          </rPr>
          <t xml:space="preserve"> =the carbon stock per unit area associated with the actual land use (measured as mass of carbon per unit area, including both soil and vegetation). In cases where the carbon stock accumulates over more than one year, the value attributed to CS</t>
        </r>
        <r>
          <rPr>
            <vertAlign val="subscript"/>
            <sz val="10"/>
            <color indexed="81"/>
            <rFont val="Arial"/>
            <family val="2"/>
            <charset val="204"/>
          </rPr>
          <t>A</t>
        </r>
        <r>
          <rPr>
            <sz val="10"/>
            <color indexed="81"/>
            <rFont val="Arial"/>
            <family val="2"/>
            <charset val="204"/>
          </rPr>
          <t xml:space="preserve"> shall be the estimated stock per unit area after 20 years or when the crop reaches maturity, whichever the earlier;
P =the productivity of the crop (measured as biofuel or bioliquid energy per unit area per year); and
e</t>
        </r>
        <r>
          <rPr>
            <vertAlign val="subscript"/>
            <sz val="10"/>
            <color indexed="81"/>
            <rFont val="Arial"/>
            <family val="2"/>
            <charset val="204"/>
          </rPr>
          <t>B</t>
        </r>
        <r>
          <rPr>
            <sz val="10"/>
            <color indexed="81"/>
            <rFont val="Arial"/>
            <family val="2"/>
            <charset val="204"/>
          </rPr>
          <t xml:space="preserve"> =bonus of 29 gCO</t>
        </r>
        <r>
          <rPr>
            <vertAlign val="subscript"/>
            <sz val="10"/>
            <color indexed="81"/>
            <rFont val="Arial"/>
            <family val="2"/>
            <charset val="204"/>
          </rPr>
          <t>2eq</t>
        </r>
        <r>
          <rPr>
            <sz val="10"/>
            <color indexed="81"/>
            <rFont val="Arial"/>
            <family val="2"/>
            <charset val="204"/>
          </rPr>
          <t>/MJ biofuel or bioliquid if biomass is obtained from restored degraded land under the conditions provided for in point 8.
8.
The bonus of 29 gCO</t>
        </r>
        <r>
          <rPr>
            <vertAlign val="subscript"/>
            <sz val="10"/>
            <color indexed="81"/>
            <rFont val="Arial"/>
            <family val="2"/>
            <charset val="204"/>
          </rPr>
          <t>2eq</t>
        </r>
        <r>
          <rPr>
            <sz val="10"/>
            <color indexed="81"/>
            <rFont val="Arial"/>
            <family val="2"/>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vertAlign val="subscript"/>
            <sz val="10"/>
            <color indexed="81"/>
            <rFont val="Arial"/>
            <family val="2"/>
            <charset val="204"/>
          </rPr>
          <t>2eq</t>
        </r>
        <r>
          <rPr>
            <sz val="10"/>
            <color indexed="81"/>
            <rFont val="Arial"/>
            <family val="2"/>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r>
          <rPr>
            <sz val="8"/>
            <color indexed="81"/>
            <rFont val="Tahoma"/>
            <charset val="204"/>
          </rPr>
          <t xml:space="preserve">
</t>
        </r>
        <r>
          <rPr>
            <sz val="10"/>
            <color indexed="81"/>
            <rFont val="Arial"/>
            <family val="2"/>
            <charset val="204"/>
          </rPr>
          <t xml:space="preserve">
</t>
        </r>
        <r>
          <rPr>
            <vertAlign val="superscript"/>
            <sz val="10"/>
            <color indexed="81"/>
            <rFont val="Arial"/>
            <family val="2"/>
            <charset val="204"/>
          </rPr>
          <t>(1)</t>
        </r>
        <r>
          <rPr>
            <vertAlign val="subscript"/>
            <sz val="10"/>
            <color indexed="81"/>
            <rFont val="Arial"/>
            <family val="2"/>
            <charset val="204"/>
          </rPr>
          <t xml:space="preserve"> </t>
        </r>
        <r>
          <rPr>
            <sz val="10"/>
            <color indexed="81"/>
            <rFont val="Arial"/>
            <family val="2"/>
            <charset val="204"/>
          </rPr>
          <t xml:space="preserve"> The quotient obtained by dividing the molecular weight of CO</t>
        </r>
        <r>
          <rPr>
            <vertAlign val="subscript"/>
            <sz val="10"/>
            <color indexed="81"/>
            <rFont val="Arial"/>
            <family val="2"/>
            <charset val="204"/>
          </rPr>
          <t>2</t>
        </r>
        <r>
          <rPr>
            <sz val="10"/>
            <color indexed="81"/>
            <rFont val="Arial"/>
            <family val="2"/>
            <charset val="204"/>
          </rPr>
          <t xml:space="preserve"> (44,010 g/mol) by the molecular weight of carbon (12,011 g/mol) is equal to 3,664.</t>
        </r>
      </text>
    </comment>
    <comment ref="C119" authorId="1">
      <text>
        <r>
          <rPr>
            <sz val="10"/>
            <color indexed="81"/>
            <rFont val="Arial"/>
            <family val="2"/>
            <charset val="204"/>
          </rPr>
          <t xml:space="preserve">
The bonus of 29 gCO</t>
        </r>
        <r>
          <rPr>
            <vertAlign val="subscript"/>
            <sz val="10"/>
            <color indexed="81"/>
            <rFont val="Arial"/>
            <family val="2"/>
            <charset val="204"/>
          </rPr>
          <t>2eq</t>
        </r>
        <r>
          <rPr>
            <sz val="10"/>
            <color indexed="81"/>
            <rFont val="Arial"/>
            <family val="2"/>
            <charset val="204"/>
          </rPr>
          <t>/MJ shall be attributed if evidence is provided that the land:
(a) was not in use for agriculture or any other activity in January 2008; and
(b) falls into one of the following categories:
   (i) severely degraded land, including such land that was formerly in agricultural use;
   (ii) heavily contaminated land.
The bonus of 29 gCO</t>
        </r>
        <r>
          <rPr>
            <vertAlign val="subscript"/>
            <sz val="10"/>
            <color indexed="81"/>
            <rFont val="Arial"/>
            <family val="2"/>
            <charset val="204"/>
          </rPr>
          <t>2eq</t>
        </r>
        <r>
          <rPr>
            <sz val="10"/>
            <color indexed="81"/>
            <rFont val="Arial"/>
            <family val="2"/>
            <charset val="204"/>
          </rPr>
          <t>/MJ shall apply for a period of up to 10 years from the date of conversion of the land to agricultural use, provided that a steady increase in carbon stocks as well as a sizable reduction in erosion phenomena for land falling under (i) are ensured and that soil contamination for land falling under (ii) is reduced.
9.
The categories referred to in point 8(b) are defined as follows:
(a) ‘severely degraded land’ means land that, for a significant period of time, has either been significantly salinated or presented significantly low organic matter content and has been severely eroded;
(b) ‘heavily contaminated land’ means land that is unfit for the cultivation of food and feed due to soil contamination.
Such land shall include land that has been the subject of a Commission decision in accordance with the fourth subparagraph of Article 18(4).</t>
        </r>
      </text>
    </comment>
    <comment ref="C127" authorId="1">
      <text>
        <r>
          <rPr>
            <sz val="10"/>
            <color indexed="81"/>
            <rFont val="Arial"/>
            <family val="2"/>
            <charset val="204"/>
          </rPr>
          <t>Emission saving from soil carbon accumulation via improved agricultural management, esca, should only be calculated if no land use change has taken place (so when e</t>
        </r>
        <r>
          <rPr>
            <vertAlign val="subscript"/>
            <sz val="10"/>
            <color indexed="81"/>
            <rFont val="Arial"/>
            <family val="2"/>
            <charset val="204"/>
          </rPr>
          <t>l</t>
        </r>
        <r>
          <rPr>
            <sz val="10"/>
            <color indexed="81"/>
            <rFont val="Arial"/>
            <family val="2"/>
            <charset val="204"/>
          </rPr>
          <t xml:space="preserve"> = 0) and can be calculated following the calculation for land use change, but excluding vegetation (so for soil organic carbon only).
Emission saving from improved agricultural management could include practices such as:
— shifting to reduced or zero-tillage;
— improved crop rotations and/or cover crops, including crop residue management;
— improved fertiliser or manure management;
— use of soil improver (e.g. compost).
Emission savings from such improvements can be taken into account if evidence is provided that the soil has carbon increased, or solid and verifiable evidence is provided that it can reasonably be expected to have increased, over the period in which the raw materials concerned were cultivated.</t>
        </r>
      </text>
    </comment>
    <comment ref="C133" authorId="1">
      <text>
        <r>
          <rPr>
            <sz val="10"/>
            <color indexed="81"/>
            <rFont val="Arial"/>
            <family val="2"/>
            <charset val="204"/>
          </rPr>
          <t>Emission saving from carbon capture and replacement, e</t>
        </r>
        <r>
          <rPr>
            <vertAlign val="subscript"/>
            <sz val="10"/>
            <color indexed="81"/>
            <rFont val="Arial"/>
            <family val="2"/>
            <charset val="204"/>
          </rPr>
          <t>ccr</t>
        </r>
        <r>
          <rPr>
            <sz val="10"/>
            <color indexed="81"/>
            <rFont val="Arial"/>
            <family val="2"/>
            <charset val="204"/>
          </rPr>
          <t>, shall be limited to emissions avoided through the capture of CO</t>
        </r>
        <r>
          <rPr>
            <vertAlign val="subscript"/>
            <sz val="10"/>
            <color indexed="81"/>
            <rFont val="Arial"/>
            <family val="2"/>
            <charset val="204"/>
          </rPr>
          <t>2</t>
        </r>
        <r>
          <rPr>
            <sz val="10"/>
            <color indexed="81"/>
            <rFont val="Arial"/>
            <family val="2"/>
            <charset val="204"/>
          </rPr>
          <t xml:space="preserve"> of which the carbon originates from biomass and which is used to replace fossil-derived CO</t>
        </r>
        <r>
          <rPr>
            <vertAlign val="subscript"/>
            <sz val="10"/>
            <color indexed="81"/>
            <rFont val="Arial"/>
            <family val="2"/>
            <charset val="204"/>
          </rPr>
          <t>2</t>
        </r>
        <r>
          <rPr>
            <sz val="10"/>
            <color indexed="81"/>
            <rFont val="Arial"/>
            <family val="2"/>
            <charset val="204"/>
          </rPr>
          <t xml:space="preserve"> used in commercial products and services.</t>
        </r>
      </text>
    </comment>
    <comment ref="C139" authorId="1">
      <text>
        <r>
          <rPr>
            <sz val="10"/>
            <color indexed="81"/>
            <rFont val="Arial"/>
            <family val="2"/>
            <charset val="204"/>
          </rPr>
          <t>Emission saving from carbon capture and geological storage e</t>
        </r>
        <r>
          <rPr>
            <vertAlign val="subscript"/>
            <sz val="10"/>
            <color indexed="81"/>
            <rFont val="Arial"/>
            <family val="2"/>
            <charset val="204"/>
          </rPr>
          <t>ccs</t>
        </r>
        <r>
          <rPr>
            <sz val="10"/>
            <color indexed="81"/>
            <rFont val="Arial"/>
            <family val="2"/>
            <charset val="204"/>
          </rPr>
          <t>, that have not already been accounted for in e</t>
        </r>
        <r>
          <rPr>
            <vertAlign val="subscript"/>
            <sz val="10"/>
            <color indexed="81"/>
            <rFont val="Arial"/>
            <family val="2"/>
            <charset val="204"/>
          </rPr>
          <t>p</t>
        </r>
        <r>
          <rPr>
            <sz val="10"/>
            <color indexed="81"/>
            <rFont val="Arial"/>
            <family val="2"/>
            <charset val="204"/>
          </rPr>
          <t>, shall be limited to emissions avoided through the capture and sequestration of emitted CO</t>
        </r>
        <r>
          <rPr>
            <vertAlign val="subscript"/>
            <sz val="10"/>
            <color indexed="81"/>
            <rFont val="Arial"/>
            <family val="2"/>
            <charset val="204"/>
          </rPr>
          <t>2</t>
        </r>
        <r>
          <rPr>
            <sz val="10"/>
            <color indexed="81"/>
            <rFont val="Arial"/>
            <family val="2"/>
            <charset val="204"/>
          </rPr>
          <t xml:space="preserve"> directly related to the extraction, transport, processing and distribution of fuel.</t>
        </r>
      </text>
    </comment>
  </commentList>
</comments>
</file>

<file path=xl/sharedStrings.xml><?xml version="1.0" encoding="utf-8"?>
<sst xmlns="http://schemas.openxmlformats.org/spreadsheetml/2006/main" count="5404" uniqueCount="1871">
  <si>
    <t>тонн C / гa</t>
    <phoneticPr fontId="184" type="noConversion"/>
  </si>
  <si>
    <r>
      <t>тонн CO</t>
    </r>
    <r>
      <rPr>
        <b/>
        <vertAlign val="subscript"/>
        <sz val="10"/>
        <rFont val="Arial"/>
        <family val="2"/>
        <charset val="204"/>
      </rPr>
      <t>2</t>
    </r>
    <r>
      <rPr>
        <b/>
        <sz val="10"/>
        <rFont val="Arial"/>
        <family val="2"/>
        <charset val="204"/>
      </rPr>
      <t xml:space="preserve"> гa</t>
    </r>
    <r>
      <rPr>
        <b/>
        <vertAlign val="superscript"/>
        <sz val="10"/>
        <rFont val="Arial"/>
        <family val="2"/>
        <charset val="204"/>
      </rPr>
      <t>-1</t>
    </r>
    <r>
      <rPr>
        <b/>
        <sz val="10"/>
        <rFont val="Arial"/>
        <family val="2"/>
        <charset val="204"/>
      </rPr>
      <t xml:space="preserve"> рік</t>
    </r>
    <r>
      <rPr>
        <b/>
        <vertAlign val="superscript"/>
        <sz val="10"/>
        <rFont val="Arial"/>
        <family val="2"/>
        <charset val="204"/>
      </rPr>
      <t>-1</t>
    </r>
    <phoneticPr fontId="184" type="noConversion"/>
  </si>
  <si>
    <r>
      <t>тонн CO</t>
    </r>
    <r>
      <rPr>
        <b/>
        <vertAlign val="subscript"/>
        <sz val="10"/>
        <rFont val="Arial"/>
        <family val="2"/>
        <charset val="204"/>
      </rPr>
      <t>2</t>
    </r>
    <r>
      <rPr>
        <b/>
        <sz val="10"/>
        <rFont val="Arial"/>
        <family val="2"/>
        <charset val="204"/>
      </rPr>
      <t xml:space="preserve"> га</t>
    </r>
    <r>
      <rPr>
        <b/>
        <vertAlign val="superscript"/>
        <sz val="10"/>
        <rFont val="Arial"/>
        <family val="2"/>
        <charset val="204"/>
      </rPr>
      <t>-1</t>
    </r>
    <r>
      <rPr>
        <b/>
        <sz val="10"/>
        <rFont val="Arial"/>
        <family val="2"/>
        <charset val="204"/>
      </rPr>
      <t xml:space="preserve"> рік</t>
    </r>
    <r>
      <rPr>
        <b/>
        <vertAlign val="superscript"/>
        <sz val="10"/>
        <rFont val="Arial"/>
        <family val="2"/>
        <charset val="204"/>
      </rPr>
      <t>-1</t>
    </r>
    <phoneticPr fontId="184" type="noConversion"/>
  </si>
  <si>
    <r>
      <t>тонн екв. CO</t>
    </r>
    <r>
      <rPr>
        <b/>
        <vertAlign val="subscript"/>
        <sz val="10"/>
        <color indexed="62"/>
        <rFont val="Arial"/>
        <family val="2"/>
        <charset val="204"/>
      </rPr>
      <t>2</t>
    </r>
    <r>
      <rPr>
        <b/>
        <sz val="10"/>
        <color indexed="62"/>
        <rFont val="Arial"/>
        <family val="2"/>
        <charset val="204"/>
      </rPr>
      <t xml:space="preserve"> гa</t>
    </r>
    <r>
      <rPr>
        <b/>
        <vertAlign val="superscript"/>
        <sz val="10"/>
        <color indexed="62"/>
        <rFont val="Arial"/>
        <family val="2"/>
        <charset val="204"/>
      </rPr>
      <t>-1</t>
    </r>
    <r>
      <rPr>
        <b/>
        <sz val="10"/>
        <color indexed="62"/>
        <rFont val="Arial"/>
        <family val="2"/>
        <charset val="204"/>
      </rPr>
      <t xml:space="preserve"> рік</t>
    </r>
    <r>
      <rPr>
        <b/>
        <vertAlign val="superscript"/>
        <sz val="10"/>
        <color indexed="62"/>
        <rFont val="Arial"/>
        <family val="2"/>
        <charset val="204"/>
      </rPr>
      <t>-1</t>
    </r>
    <phoneticPr fontId="184" type="noConversion"/>
  </si>
  <si>
    <r>
      <t>тонн CO</t>
    </r>
    <r>
      <rPr>
        <vertAlign val="subscript"/>
        <sz val="10"/>
        <rFont val="Arial"/>
        <family val="2"/>
        <charset val="204"/>
      </rPr>
      <t>2</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phoneticPr fontId="0" type="noConversion"/>
  </si>
  <si>
    <t xml:space="preserve">Даний  Excel-файл був наданий науково-виборничим об'єднанням проекту BioGrace. </t>
    <phoneticPr fontId="184" type="noConversion"/>
  </si>
  <si>
    <t>Більш детальна інформація доступна на</t>
    <phoneticPr fontId="184" type="noConversion"/>
  </si>
  <si>
    <t xml:space="preserve">Інформацію про IEE можна знайти на </t>
    <phoneticPr fontId="184" type="noConversion"/>
  </si>
  <si>
    <t>Проект BioGrace отримує фінансову підтримку від програми IEE.</t>
    <phoneticPr fontId="184" type="noConversion"/>
  </si>
  <si>
    <t xml:space="preserve"> тонн C / гa</t>
    <phoneticPr fontId="184" type="noConversion"/>
  </si>
  <si>
    <t xml:space="preserve"> тонн C / гa</t>
    <phoneticPr fontId="184" type="noConversion"/>
  </si>
  <si>
    <t>Знову ж таки, LBST надав значення, які були фактично використані для ряду стандартних значень, дещо відмінних від тих, що перераховані у версії 2с WTT, Додаток 1.</t>
    <phoneticPr fontId="184" type="noConversion"/>
  </si>
  <si>
    <t xml:space="preserve"> 2. Перелік стандартних  значень, що наданий консорціумом JEC</t>
    <phoneticPr fontId="184" type="noConversion"/>
  </si>
  <si>
    <t>Дивіться Таблицю 6, Таблицю 7, Таблицю 8 для проміжних підрахунків (права сторона аркушу)</t>
  </si>
  <si>
    <t xml:space="preserve">Файл із вхідними даними, який був підготовлені консорціумом JEC доступний на веб-сайті JEC: </t>
  </si>
  <si>
    <t>http://www.biograce.net./</t>
  </si>
  <si>
    <t>Уловлювання та заміна СО2</t>
  </si>
  <si>
    <t xml:space="preserve">Уловлювання та геологічне збереження CO2 </t>
  </si>
  <si>
    <r>
      <t>г CO</t>
    </r>
    <r>
      <rPr>
        <vertAlign val="subscript"/>
        <sz val="10"/>
        <rFont val="Arial"/>
        <family val="2"/>
        <charset val="204"/>
      </rPr>
      <t>2,eкв</t>
    </r>
    <r>
      <rPr>
        <sz val="10"/>
        <rFont val="Arial"/>
        <charset val="204"/>
      </rPr>
      <t xml:space="preserve"> / MДж</t>
    </r>
    <r>
      <rPr>
        <vertAlign val="subscript"/>
        <sz val="10"/>
        <rFont val="Arial"/>
        <family val="2"/>
        <charset val="204"/>
      </rPr>
      <t>FAME</t>
    </r>
  </si>
  <si>
    <t xml:space="preserve">У підрахунках використані керівництва, опублаковані у </t>
  </si>
  <si>
    <t>Для наступних культур (імпортована сировина) додаткова гіпотеза в підрахунках JEC включає:</t>
  </si>
  <si>
    <t>підрахунки у даному Excel-аркуші……</t>
  </si>
  <si>
    <t>Calculation of Improved Agricultural Management  (esca)</t>
  </si>
  <si>
    <t>Esca (EnVer)</t>
  </si>
  <si>
    <t>LUC (EnVer)</t>
  </si>
  <si>
    <t xml:space="preserve">About this Excel file   </t>
  </si>
  <si>
    <t xml:space="preserve">КВТЕ </t>
  </si>
  <si>
    <t>(CHP)</t>
  </si>
  <si>
    <t xml:space="preserve">СПГ </t>
  </si>
  <si>
    <t>(CNG)</t>
  </si>
  <si>
    <t>(CO2,eq)</t>
  </si>
  <si>
    <t>(DDGS)</t>
  </si>
  <si>
    <t xml:space="preserve">СМЕЖК </t>
  </si>
  <si>
    <t>(FAME)</t>
  </si>
  <si>
    <t>(FFB)</t>
  </si>
  <si>
    <t xml:space="preserve">ГРО </t>
  </si>
  <si>
    <t>(HVO)</t>
  </si>
  <si>
    <t xml:space="preserve">ТПВ </t>
  </si>
  <si>
    <t>(MSW)</t>
  </si>
  <si>
    <t>ПГ</t>
  </si>
  <si>
    <t xml:space="preserve"> (NG)</t>
  </si>
  <si>
    <t xml:space="preserve">ЧРО </t>
  </si>
  <si>
    <t>(PVO)</t>
  </si>
  <si>
    <t xml:space="preserve">ПТ </t>
  </si>
  <si>
    <t>(ST)</t>
  </si>
  <si>
    <r>
      <t>СО</t>
    </r>
    <r>
      <rPr>
        <vertAlign val="subscript"/>
        <sz val="10"/>
        <rFont val="Arial"/>
        <family val="2"/>
        <charset val="204"/>
      </rPr>
      <t>2</t>
    </r>
    <r>
      <rPr>
        <sz val="10"/>
        <rFont val="Arial"/>
        <charset val="204"/>
      </rPr>
      <t>екв</t>
    </r>
  </si>
  <si>
    <r>
      <t xml:space="preserve">  </t>
    </r>
    <r>
      <rPr>
        <sz val="20"/>
        <rFont val="Symbol"/>
      </rPr>
      <t>·</t>
    </r>
    <r>
      <rPr>
        <sz val="20"/>
        <rFont val="Arial"/>
        <family val="2"/>
        <charset val="204"/>
      </rPr>
      <t xml:space="preserve"> Приклад використання середніх значень для вирощування </t>
    </r>
  </si>
  <si>
    <t xml:space="preserve">Вирощування пшениці </t>
  </si>
  <si>
    <r>
      <t>кг P</t>
    </r>
    <r>
      <rPr>
        <vertAlign val="subscript"/>
        <sz val="10"/>
        <rFont val="Arial"/>
        <family val="2"/>
        <charset val="204"/>
      </rPr>
      <t>2</t>
    </r>
    <r>
      <rPr>
        <sz val="10"/>
        <rFont val="Arial"/>
        <charset val="204"/>
      </rPr>
      <t>O</t>
    </r>
    <r>
      <rPr>
        <vertAlign val="subscript"/>
        <sz val="10"/>
        <rFont val="Arial"/>
        <family val="2"/>
        <charset val="204"/>
      </rPr>
      <t>5</t>
    </r>
    <r>
      <rPr>
        <sz val="10"/>
        <rFont val="Arial"/>
        <charset val="204"/>
      </rPr>
      <t xml:space="preserve"> гa</t>
    </r>
    <r>
      <rPr>
        <vertAlign val="superscript"/>
        <sz val="10"/>
        <rFont val="Arial"/>
        <family val="2"/>
        <charset val="204"/>
      </rPr>
      <t>-1</t>
    </r>
    <r>
      <rPr>
        <sz val="10"/>
        <rFont val="Arial"/>
        <charset val="204"/>
      </rPr>
      <t xml:space="preserve"> рікr</t>
    </r>
    <r>
      <rPr>
        <vertAlign val="superscript"/>
        <sz val="10"/>
        <rFont val="Arial"/>
        <family val="2"/>
        <charset val="204"/>
      </rPr>
      <t>-1</t>
    </r>
  </si>
  <si>
    <t>Значення BioGrace</t>
  </si>
  <si>
    <r>
      <t>Ø</t>
    </r>
    <r>
      <rPr>
        <sz val="14"/>
        <rFont val="Times New Roman"/>
        <family val="1"/>
        <charset val="204"/>
      </rPr>
      <t xml:space="preserve">   Виробництво Біоетанолу  - </t>
    </r>
  </si>
  <si>
    <r>
      <t>MДж</t>
    </r>
    <r>
      <rPr>
        <vertAlign val="subscript"/>
        <sz val="10"/>
        <rFont val="Arial"/>
        <family val="2"/>
        <charset val="204"/>
      </rPr>
      <t>Eтанолу</t>
    </r>
    <r>
      <rPr>
        <sz val="10"/>
        <rFont val="Arial"/>
        <charset val="204"/>
      </rPr>
      <t xml:space="preserve"> / MДж</t>
    </r>
    <r>
      <rPr>
        <vertAlign val="subscript"/>
        <sz val="10"/>
        <rFont val="Arial"/>
        <family val="2"/>
        <charset val="204"/>
      </rPr>
      <t>Пшениці</t>
    </r>
  </si>
  <si>
    <r>
      <t>тон</t>
    </r>
    <r>
      <rPr>
        <vertAlign val="subscript"/>
        <sz val="10"/>
        <rFont val="Arial"/>
        <family val="2"/>
        <charset val="204"/>
      </rPr>
      <t>DDGS</t>
    </r>
    <r>
      <rPr>
        <sz val="10"/>
        <rFont val="Arial"/>
        <charset val="204"/>
      </rPr>
      <t xml:space="preserve"> / тон</t>
    </r>
    <r>
      <rPr>
        <vertAlign val="subscript"/>
        <sz val="10"/>
        <rFont val="Arial"/>
        <family val="2"/>
        <charset val="204"/>
      </rPr>
      <t>Eтанолу</t>
    </r>
  </si>
  <si>
    <t>Від 3.55 т пшениці  - 1 т біоетанолу та 520 кг DDGS</t>
  </si>
  <si>
    <r>
      <t xml:space="preserve">  </t>
    </r>
    <r>
      <rPr>
        <sz val="20"/>
        <rFont val="Symbol"/>
      </rPr>
      <t>·</t>
    </r>
    <r>
      <rPr>
        <sz val="20"/>
        <rFont val="Arial"/>
        <family val="2"/>
        <charset val="204"/>
      </rPr>
      <t xml:space="preserve"> Скопіюйте аркуш E-Пш (невизначений) та замініть ці дані у відповідних комірках аркуша</t>
    </r>
  </si>
  <si>
    <t xml:space="preserve">Каталог </t>
  </si>
  <si>
    <t>Опис</t>
  </si>
  <si>
    <t>Esca (УкрВер)</t>
  </si>
  <si>
    <t>Викиди N2O згідно МГЕЗК</t>
  </si>
  <si>
    <t>Викиди N2O Приклад 1</t>
  </si>
  <si>
    <t>Е-ЦБ</t>
  </si>
  <si>
    <t>Приклад 1 Етанол з цукрового буряку</t>
  </si>
  <si>
    <t>Е-ПШ</t>
  </si>
  <si>
    <t>Е-КР</t>
  </si>
  <si>
    <t>F-Рк</t>
  </si>
  <si>
    <t>Production of FAME from Rapeseed (steam from natural gas boiler)</t>
  </si>
  <si>
    <t>Production of Ethanol from Corn (community produced) (steam from natural gas CHP)</t>
  </si>
  <si>
    <t>E-Co</t>
  </si>
  <si>
    <t>Production of Ethanol from Wheat (process fuel not specified)</t>
  </si>
  <si>
    <t>E-Wt</t>
  </si>
  <si>
    <t>Example 1 Ethanol from  Sugar beet</t>
  </si>
  <si>
    <t>Production of Ethanol from Sugarbeet (steam from NG boiler)</t>
  </si>
  <si>
    <t>E-Sb</t>
  </si>
  <si>
    <t>Calculation of N2O emissions using the IPCC methodology (Example 1)</t>
  </si>
  <si>
    <t>N2O emissions Example 1</t>
  </si>
  <si>
    <t>Calculation of N2O emissions using the IPCC methodology</t>
  </si>
  <si>
    <t xml:space="preserve">N2O emissions IPCC </t>
  </si>
  <si>
    <t>Handling &amp; storage of wheat</t>
  </si>
  <si>
    <r>
      <t>kg</t>
    </r>
    <r>
      <rPr>
        <vertAlign val="subscript"/>
        <sz val="10"/>
        <rFont val="Arial"/>
        <family val="2"/>
        <charset val="204"/>
      </rPr>
      <t>Wheat</t>
    </r>
    <r>
      <rPr>
        <sz val="10"/>
        <rFont val="Arial"/>
        <charset val="204"/>
      </rPr>
      <t>/MJ</t>
    </r>
    <r>
      <rPr>
        <vertAlign val="subscript"/>
        <sz val="10"/>
        <rFont val="Arial"/>
        <family val="2"/>
        <charset val="204"/>
      </rPr>
      <t>ethanol</t>
    </r>
  </si>
  <si>
    <r>
      <t>MJ</t>
    </r>
    <r>
      <rPr>
        <vertAlign val="subscript"/>
        <sz val="10"/>
        <rFont val="Arial"/>
        <family val="2"/>
        <charset val="204"/>
      </rPr>
      <t>Wheat</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</si>
  <si>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t>(process fuel not specified)</t>
  </si>
  <si>
    <t>Виробництво етанолу з кукурудзи (спільне виробництво) (пара від ПГ ТЕЦ)</t>
  </si>
  <si>
    <r>
      <t>MJ</t>
    </r>
    <r>
      <rPr>
        <vertAlign val="subscript"/>
        <sz val="10"/>
        <rFont val="Arial"/>
        <family val="2"/>
        <charset val="204"/>
      </rPr>
      <t>Ethanol</t>
    </r>
    <r>
      <rPr>
        <sz val="10"/>
        <rFont val="Arial"/>
        <charset val="204"/>
      </rPr>
      <t xml:space="preserve"> / MJ</t>
    </r>
    <r>
      <rPr>
        <vertAlign val="subscript"/>
        <sz val="10"/>
        <rFont val="Arial"/>
        <family val="2"/>
        <charset val="204"/>
      </rPr>
      <t>Corn, input</t>
    </r>
  </si>
  <si>
    <r>
      <t>MJ / MJ</t>
    </r>
    <r>
      <rPr>
        <vertAlign val="subscript"/>
        <sz val="10"/>
        <rFont val="Arial"/>
        <family val="2"/>
        <charset val="204"/>
      </rPr>
      <t>Corn, input</t>
    </r>
  </si>
  <si>
    <r>
      <t>ton km / MJ</t>
    </r>
    <r>
      <rPr>
        <vertAlign val="subscript"/>
        <sz val="10"/>
        <rFont val="Arial"/>
        <family val="2"/>
        <charset val="204"/>
      </rPr>
      <t>Corn, input</t>
    </r>
  </si>
  <si>
    <t>1,392 ton</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</si>
  <si>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NG CHP</t>
    </r>
  </si>
  <si>
    <t>Emissions from NG CHP</t>
  </si>
  <si>
    <r>
      <t>MJ</t>
    </r>
    <r>
      <rPr>
        <vertAlign val="subscript"/>
        <sz val="10"/>
        <rFont val="Arial"/>
        <family val="2"/>
        <charset val="204"/>
      </rPr>
      <t>Ethanol</t>
    </r>
    <r>
      <rPr>
        <sz val="10"/>
        <rFont val="Arial"/>
        <charset val="204"/>
      </rPr>
      <t xml:space="preserve"> / MJ</t>
    </r>
    <r>
      <rPr>
        <vertAlign val="subscript"/>
        <sz val="10"/>
        <rFont val="Arial"/>
        <family val="2"/>
        <charset val="204"/>
      </rPr>
      <t>Corn</t>
    </r>
  </si>
  <si>
    <t>per kg corn</t>
  </si>
  <si>
    <r>
      <t>MJ</t>
    </r>
    <r>
      <rPr>
        <vertAlign val="subscript"/>
        <sz val="10"/>
        <rFont val="Arial"/>
        <family val="2"/>
        <charset val="204"/>
      </rPr>
      <t>Corn</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</si>
  <si>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Corn</t>
    </r>
    <r>
      <rPr>
        <sz val="10"/>
        <rFont val="Arial"/>
        <charset val="204"/>
      </rPr>
      <t xml:space="preserve"> / MJ</t>
    </r>
    <r>
      <rPr>
        <vertAlign val="subscript"/>
        <sz val="10"/>
        <rFont val="Arial"/>
        <family val="2"/>
        <charset val="204"/>
      </rPr>
      <t>Corn</t>
    </r>
  </si>
  <si>
    <t>Transport of corn</t>
  </si>
  <si>
    <r>
      <t>kg</t>
    </r>
    <r>
      <rPr>
        <vertAlign val="subscript"/>
        <sz val="10"/>
        <rFont val="Arial"/>
        <family val="2"/>
        <charset val="204"/>
      </rPr>
      <t>Corn</t>
    </r>
    <r>
      <rPr>
        <sz val="10"/>
        <rFont val="Arial"/>
        <charset val="204"/>
      </rPr>
      <t>/MJ</t>
    </r>
    <r>
      <rPr>
        <vertAlign val="subscript"/>
        <sz val="10"/>
        <rFont val="Arial"/>
        <family val="2"/>
        <charset val="204"/>
      </rPr>
      <t>ethanol</t>
    </r>
  </si>
  <si>
    <t>Cultivation of corn</t>
  </si>
  <si>
    <t>(steam from natural gas CHP)</t>
  </si>
  <si>
    <t>Corn (community produced)</t>
  </si>
  <si>
    <r>
      <t>g CO</t>
    </r>
    <r>
      <rPr>
        <b/>
        <vertAlign val="subscript"/>
        <sz val="10"/>
        <color indexed="9"/>
        <rFont val="Arial"/>
        <family val="2"/>
        <charset val="204"/>
      </rPr>
      <t>2,eq</t>
    </r>
    <r>
      <rPr>
        <b/>
        <sz val="10"/>
        <color indexed="9"/>
        <rFont val="Arial"/>
        <family val="2"/>
        <charset val="204"/>
      </rPr>
      <t xml:space="preserve"> / MJ</t>
    </r>
    <r>
      <rPr>
        <b/>
        <vertAlign val="subscript"/>
        <sz val="10"/>
        <color indexed="9"/>
        <rFont val="Arial"/>
        <family val="2"/>
        <charset val="204"/>
      </rPr>
      <t>FAME</t>
    </r>
  </si>
  <si>
    <r>
      <t>MJ</t>
    </r>
    <r>
      <rPr>
        <vertAlign val="subscript"/>
        <sz val="10"/>
        <rFont val="Arial"/>
        <family val="2"/>
        <charset val="204"/>
      </rPr>
      <t>FAME</t>
    </r>
    <r>
      <rPr>
        <sz val="10"/>
        <rFont val="Arial"/>
        <charset val="204"/>
      </rPr>
      <t xml:space="preserve"> / MJ</t>
    </r>
    <r>
      <rPr>
        <vertAlign val="subscript"/>
        <sz val="10"/>
        <rFont val="Arial"/>
        <family val="2"/>
        <charset val="204"/>
      </rPr>
      <t>Rapeseed, input</t>
    </r>
  </si>
  <si>
    <r>
      <t>MJ</t>
    </r>
    <r>
      <rPr>
        <vertAlign val="subscript"/>
        <sz val="10"/>
        <rFont val="Arial"/>
        <family val="2"/>
        <charset val="204"/>
      </rPr>
      <t>FAME</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</si>
  <si>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g CO</t>
    </r>
    <r>
      <rPr>
        <vertAlign val="subscript"/>
        <sz val="10"/>
        <rFont val="Arial"/>
        <family val="2"/>
        <charset val="204"/>
      </rPr>
      <t>2,eq</t>
    </r>
    <r>
      <rPr>
        <sz val="10"/>
        <rFont val="Arial"/>
        <charset val="204"/>
      </rPr>
      <t xml:space="preserve"> / MJ</t>
    </r>
    <r>
      <rPr>
        <vertAlign val="subscript"/>
        <sz val="10"/>
        <rFont val="Arial"/>
        <family val="2"/>
        <charset val="204"/>
      </rPr>
      <t>FAME</t>
    </r>
  </si>
  <si>
    <r>
      <t>MJ / MJ</t>
    </r>
    <r>
      <rPr>
        <vertAlign val="subscript"/>
        <sz val="10"/>
        <rFont val="Arial"/>
        <family val="2"/>
        <charset val="204"/>
      </rPr>
      <t>FAME</t>
    </r>
  </si>
  <si>
    <t>per kg FAME</t>
  </si>
  <si>
    <r>
      <t>MJ</t>
    </r>
    <r>
      <rPr>
        <vertAlign val="subscript"/>
        <sz val="10"/>
        <rFont val="Arial"/>
        <family val="2"/>
        <charset val="204"/>
      </rPr>
      <t>FAME</t>
    </r>
    <r>
      <rPr>
        <sz val="10"/>
        <rFont val="Arial"/>
        <charset val="204"/>
      </rPr>
      <t xml:space="preserve"> / MJ</t>
    </r>
    <r>
      <rPr>
        <vertAlign val="subscript"/>
        <sz val="10"/>
        <rFont val="Arial"/>
        <family val="2"/>
        <charset val="204"/>
      </rPr>
      <t>FAME</t>
    </r>
  </si>
  <si>
    <r>
      <t>ton km / MJ</t>
    </r>
    <r>
      <rPr>
        <vertAlign val="subscript"/>
        <sz val="10"/>
        <rFont val="Arial"/>
        <family val="2"/>
        <charset val="204"/>
      </rPr>
      <t>Rapeseed, input</t>
    </r>
  </si>
  <si>
    <t>Transport of FAME</t>
  </si>
  <si>
    <t>Energy content (0,1056 ton)</t>
  </si>
  <si>
    <t>Energy content (1 ton)</t>
  </si>
  <si>
    <r>
      <t>kg / MJ</t>
    </r>
    <r>
      <rPr>
        <vertAlign val="subscript"/>
        <sz val="10"/>
        <rFont val="Arial"/>
        <family val="2"/>
        <charset val="204"/>
      </rPr>
      <t>FAME</t>
    </r>
  </si>
  <si>
    <r>
      <t>Sodium carbonate (Na</t>
    </r>
    <r>
      <rPr>
        <vertAlign val="subscript"/>
        <sz val="10"/>
        <rFont val="Arial"/>
        <family val="2"/>
        <charset val="204"/>
      </rPr>
      <t>2</t>
    </r>
    <r>
      <rPr>
        <sz val="10"/>
        <rFont val="Arial"/>
        <charset val="204"/>
      </rPr>
      <t>CO</t>
    </r>
    <r>
      <rPr>
        <vertAlign val="subscript"/>
        <sz val="10"/>
        <rFont val="Arial"/>
        <family val="2"/>
        <charset val="204"/>
      </rPr>
      <t>3</t>
    </r>
    <r>
      <rPr>
        <sz val="10"/>
        <rFont val="Arial"/>
        <charset val="204"/>
      </rPr>
      <t>)</t>
    </r>
  </si>
  <si>
    <r>
      <t>Phosphoric acid (H</t>
    </r>
    <r>
      <rPr>
        <vertAlign val="subscript"/>
        <sz val="10"/>
        <rFont val="Arial"/>
        <family val="2"/>
        <charset val="204"/>
      </rPr>
      <t>3</t>
    </r>
    <r>
      <rPr>
        <sz val="10"/>
        <rFont val="Arial"/>
        <charset val="204"/>
      </rPr>
      <t>PO</t>
    </r>
    <r>
      <rPr>
        <vertAlign val="subscript"/>
        <sz val="10"/>
        <rFont val="Arial"/>
        <family val="2"/>
        <charset val="204"/>
      </rPr>
      <t>4</t>
    </r>
    <r>
      <rPr>
        <sz val="10"/>
        <rFont val="Arial"/>
        <charset val="204"/>
      </rPr>
      <t>)</t>
    </r>
  </si>
  <si>
    <r>
      <t>kg</t>
    </r>
    <r>
      <rPr>
        <vertAlign val="subscript"/>
        <sz val="10"/>
        <rFont val="Arial"/>
        <family val="2"/>
        <charset val="204"/>
      </rPr>
      <t xml:space="preserve">FAME </t>
    </r>
    <r>
      <rPr>
        <sz val="10"/>
        <rFont val="Arial"/>
        <charset val="204"/>
      </rPr>
      <t>/ MJ</t>
    </r>
    <r>
      <rPr>
        <vertAlign val="subscript"/>
        <sz val="10"/>
        <rFont val="Arial"/>
        <family val="2"/>
        <charset val="204"/>
      </rPr>
      <t>FAME</t>
    </r>
  </si>
  <si>
    <t>kg / ton FAME</t>
  </si>
  <si>
    <r>
      <t>MJ</t>
    </r>
    <r>
      <rPr>
        <vertAlign val="subscript"/>
        <sz val="10"/>
        <rFont val="Arial"/>
        <family val="2"/>
        <charset val="204"/>
      </rPr>
      <t>FAME</t>
    </r>
    <r>
      <rPr>
        <sz val="10"/>
        <rFont val="Arial"/>
        <charset val="204"/>
      </rPr>
      <t xml:space="preserve"> / MJ</t>
    </r>
    <r>
      <rPr>
        <vertAlign val="subscript"/>
        <sz val="10"/>
        <rFont val="Arial"/>
        <family val="2"/>
        <charset val="204"/>
      </rPr>
      <t>Oil</t>
    </r>
  </si>
  <si>
    <t>Esterification</t>
  </si>
  <si>
    <r>
      <t>kg / MJ</t>
    </r>
    <r>
      <rPr>
        <vertAlign val="subscript"/>
        <sz val="10"/>
        <rFont val="Arial"/>
        <family val="2"/>
        <charset val="204"/>
      </rPr>
      <t>Oil</t>
    </r>
  </si>
  <si>
    <r>
      <t>MJ / MJ</t>
    </r>
    <r>
      <rPr>
        <vertAlign val="subscript"/>
        <sz val="10"/>
        <rFont val="Arial"/>
        <family val="2"/>
        <charset val="204"/>
      </rPr>
      <t>Oil</t>
    </r>
  </si>
  <si>
    <r>
      <t>kg</t>
    </r>
    <r>
      <rPr>
        <vertAlign val="subscript"/>
        <sz val="10"/>
        <rFont val="Arial"/>
        <family val="2"/>
        <charset val="204"/>
      </rPr>
      <t xml:space="preserve">Oil </t>
    </r>
    <r>
      <rPr>
        <sz val="10"/>
        <rFont val="Arial"/>
        <charset val="204"/>
      </rPr>
      <t>/ MJ</t>
    </r>
    <r>
      <rPr>
        <vertAlign val="subscript"/>
        <sz val="10"/>
        <rFont val="Arial"/>
        <family val="2"/>
        <charset val="204"/>
      </rPr>
      <t>FAME</t>
    </r>
  </si>
  <si>
    <r>
      <t>MJ</t>
    </r>
    <r>
      <rPr>
        <vertAlign val="subscript"/>
        <sz val="10"/>
        <rFont val="Arial"/>
        <family val="2"/>
        <charset val="204"/>
      </rPr>
      <t>Oil</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</si>
  <si>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Oil</t>
    </r>
    <r>
      <rPr>
        <sz val="10"/>
        <rFont val="Arial"/>
        <charset val="204"/>
      </rPr>
      <t xml:space="preserve"> / MJ</t>
    </r>
    <r>
      <rPr>
        <vertAlign val="subscript"/>
        <sz val="10"/>
        <rFont val="Arial"/>
        <family val="2"/>
        <charset val="204"/>
      </rPr>
      <t>Oil</t>
    </r>
  </si>
  <si>
    <t>per kg refined oil</t>
  </si>
  <si>
    <t>Refining of vegetable oil</t>
  </si>
  <si>
    <t>Energy content co-product</t>
  </si>
  <si>
    <t>Energy content (based on 1 MJ)</t>
  </si>
  <si>
    <t>per kg oil</t>
  </si>
  <si>
    <r>
      <t>MJ</t>
    </r>
    <r>
      <rPr>
        <vertAlign val="subscript"/>
        <sz val="10"/>
        <rFont val="Arial"/>
        <family val="2"/>
        <charset val="204"/>
      </rPr>
      <t>Rapeseed cake</t>
    </r>
    <r>
      <rPr>
        <sz val="10"/>
        <rFont val="Arial"/>
        <charset val="204"/>
      </rPr>
      <t xml:space="preserve"> / MJ</t>
    </r>
    <r>
      <rPr>
        <vertAlign val="subscript"/>
        <sz val="10"/>
        <rFont val="Arial"/>
        <family val="2"/>
        <charset val="204"/>
      </rPr>
      <t>Rapeseed</t>
    </r>
  </si>
  <si>
    <r>
      <t>MJ</t>
    </r>
    <r>
      <rPr>
        <vertAlign val="subscript"/>
        <sz val="10"/>
        <rFont val="Arial"/>
        <family val="2"/>
        <charset val="204"/>
      </rPr>
      <t>Oil</t>
    </r>
    <r>
      <rPr>
        <sz val="10"/>
        <rFont val="Arial"/>
        <charset val="204"/>
      </rPr>
      <t xml:space="preserve"> / MJ</t>
    </r>
    <r>
      <rPr>
        <vertAlign val="subscript"/>
        <sz val="10"/>
        <rFont val="Arial"/>
        <family val="2"/>
        <charset val="204"/>
      </rPr>
      <t>Rapeseed</t>
    </r>
  </si>
  <si>
    <t>Extraction of oil</t>
  </si>
  <si>
    <t>per kg rapeseed</t>
  </si>
  <si>
    <r>
      <t>MJ</t>
    </r>
    <r>
      <rPr>
        <vertAlign val="subscript"/>
        <sz val="10"/>
        <rFont val="Arial"/>
        <family val="2"/>
        <charset val="204"/>
      </rPr>
      <t>Rapeseed</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</si>
  <si>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Rapeseed</t>
    </r>
    <r>
      <rPr>
        <sz val="10"/>
        <rFont val="Arial"/>
        <charset val="204"/>
      </rPr>
      <t xml:space="preserve"> / MJ</t>
    </r>
    <r>
      <rPr>
        <vertAlign val="subscript"/>
        <sz val="10"/>
        <rFont val="Arial"/>
        <family val="2"/>
        <charset val="204"/>
      </rPr>
      <t>Rapeseed</t>
    </r>
  </si>
  <si>
    <t>Transport of rapeseed</t>
  </si>
  <si>
    <r>
      <t>MJ</t>
    </r>
    <r>
      <rPr>
        <sz val="10"/>
        <rFont val="Arial"/>
        <charset val="204"/>
      </rPr>
      <t xml:space="preserve"> / MJ</t>
    </r>
    <r>
      <rPr>
        <vertAlign val="subscript"/>
        <sz val="10"/>
        <rFont val="Arial"/>
        <family val="2"/>
        <charset val="204"/>
      </rPr>
      <t>Rapeseed</t>
    </r>
  </si>
  <si>
    <t>Rapeseed drying</t>
  </si>
  <si>
    <r>
      <t>kg</t>
    </r>
    <r>
      <rPr>
        <vertAlign val="subscript"/>
        <sz val="10"/>
        <rFont val="Arial"/>
        <family val="2"/>
        <charset val="204"/>
      </rPr>
      <t>Rapeseed</t>
    </r>
    <r>
      <rPr>
        <sz val="10"/>
        <rFont val="Arial"/>
        <charset val="204"/>
      </rPr>
      <t>/MJ</t>
    </r>
    <r>
      <rPr>
        <vertAlign val="subscript"/>
        <sz val="10"/>
        <rFont val="Arial"/>
        <family val="2"/>
        <charset val="204"/>
      </rPr>
      <t>FAME</t>
    </r>
  </si>
  <si>
    <t>Cultivation of rapeseed</t>
  </si>
  <si>
    <t>to Refined glycerol</t>
  </si>
  <si>
    <t>to FAME</t>
  </si>
  <si>
    <t>to Rapeseed cake</t>
  </si>
  <si>
    <t>to Rapeseed oil</t>
  </si>
  <si>
    <t>Fossil fuel reference (diesel)</t>
  </si>
  <si>
    <r>
      <t>g CO</t>
    </r>
    <r>
      <rPr>
        <b/>
        <i/>
        <vertAlign val="subscript"/>
        <sz val="10"/>
        <color indexed="9"/>
        <rFont val="Arial"/>
        <family val="2"/>
        <charset val="204"/>
      </rPr>
      <t>2,eq</t>
    </r>
    <r>
      <rPr>
        <b/>
        <i/>
        <sz val="10"/>
        <color indexed="9"/>
        <rFont val="Arial"/>
        <family val="2"/>
        <charset val="204"/>
      </rPr>
      <t xml:space="preserve"> / MJ</t>
    </r>
    <r>
      <rPr>
        <b/>
        <i/>
        <vertAlign val="subscript"/>
        <sz val="10"/>
        <color indexed="9"/>
        <rFont val="Arial"/>
        <family val="2"/>
        <charset val="204"/>
      </rPr>
      <t>FAME</t>
    </r>
  </si>
  <si>
    <t>(steam from natural gas boiler)</t>
  </si>
  <si>
    <t>Energy content</t>
  </si>
  <si>
    <t>Co-product:</t>
  </si>
  <si>
    <t>Energy content (per MJ sugarbeet)</t>
  </si>
  <si>
    <t>Main product:</t>
  </si>
  <si>
    <r>
      <t>E</t>
    </r>
    <r>
      <rPr>
        <sz val="10"/>
        <rFont val="Arial"/>
        <charset val="204"/>
      </rPr>
      <t>missions up to and including this process step:</t>
    </r>
  </si>
  <si>
    <t>over main- and byproduct</t>
  </si>
  <si>
    <t>Total emission before allocation:</t>
  </si>
  <si>
    <t>Allocation</t>
  </si>
  <si>
    <t>Total</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</si>
  <si>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NG boiler</t>
    </r>
  </si>
  <si>
    <r>
      <t>kg</t>
    </r>
    <r>
      <rPr>
        <vertAlign val="subscript"/>
        <sz val="10"/>
        <rFont val="Arial"/>
        <family val="2"/>
        <charset val="204"/>
      </rPr>
      <t>Ethanol/</t>
    </r>
    <r>
      <rPr>
        <sz val="10"/>
        <rFont val="Arial"/>
        <charset val="204"/>
      </rPr>
      <t>MJ</t>
    </r>
    <r>
      <rPr>
        <vertAlign val="subscript"/>
        <sz val="10"/>
        <rFont val="Arial"/>
        <family val="2"/>
        <charset val="204"/>
      </rPr>
      <t>Ethanol</t>
    </r>
  </si>
  <si>
    <r>
      <t>MJ</t>
    </r>
    <r>
      <rPr>
        <vertAlign val="subscript"/>
        <sz val="10"/>
        <rFont val="Arial"/>
        <family val="2"/>
        <charset val="204"/>
      </rPr>
      <t>Sugar beet pulp</t>
    </r>
    <r>
      <rPr>
        <sz val="10"/>
        <rFont val="Arial"/>
        <charset val="204"/>
      </rPr>
      <t xml:space="preserve"> / MJ</t>
    </r>
    <r>
      <rPr>
        <vertAlign val="subscript"/>
        <sz val="10"/>
        <rFont val="Arial"/>
        <family val="2"/>
        <charset val="204"/>
      </rPr>
      <t>Sugar beet</t>
    </r>
  </si>
  <si>
    <r>
      <t>MJ</t>
    </r>
    <r>
      <rPr>
        <vertAlign val="subscript"/>
        <sz val="10"/>
        <rFont val="Arial"/>
        <family val="2"/>
        <charset val="204"/>
      </rPr>
      <t>Ethanol</t>
    </r>
    <r>
      <rPr>
        <sz val="10"/>
        <rFont val="Arial"/>
        <charset val="204"/>
      </rPr>
      <t xml:space="preserve"> / MJ</t>
    </r>
    <r>
      <rPr>
        <vertAlign val="subscript"/>
        <sz val="10"/>
        <rFont val="Arial"/>
        <family val="2"/>
        <charset val="204"/>
      </rPr>
      <t>Sugarbeet</t>
    </r>
  </si>
  <si>
    <t>per kg sugarbeet</t>
  </si>
  <si>
    <r>
      <t>MJ</t>
    </r>
    <r>
      <rPr>
        <vertAlign val="subscript"/>
        <sz val="10"/>
        <rFont val="Arial"/>
        <family val="2"/>
        <charset val="204"/>
      </rPr>
      <t>Sugar beet</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</si>
  <si>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Sugarbeet</t>
    </r>
    <r>
      <rPr>
        <sz val="10"/>
        <rFont val="Arial"/>
        <charset val="204"/>
      </rPr>
      <t xml:space="preserve"> / MJ</t>
    </r>
    <r>
      <rPr>
        <vertAlign val="subscript"/>
        <sz val="10"/>
        <rFont val="Arial"/>
        <family val="2"/>
        <charset val="204"/>
      </rPr>
      <t>Sugarbeet</t>
    </r>
  </si>
  <si>
    <t>Transport of sugarbeet</t>
  </si>
  <si>
    <r>
      <t>kg CaO ha</t>
    </r>
    <r>
      <rPr>
        <vertAlign val="superscript"/>
        <sz val="10"/>
        <rFont val="Arial"/>
        <family val="2"/>
        <charset val="204"/>
      </rPr>
      <t xml:space="preserve">-1 </t>
    </r>
    <r>
      <rPr>
        <sz val="10"/>
        <rFont val="Arial"/>
        <charset val="204"/>
      </rPr>
      <t>year</t>
    </r>
    <r>
      <rPr>
        <vertAlign val="superscript"/>
        <sz val="10"/>
        <rFont val="Arial"/>
        <family val="2"/>
        <charset val="204"/>
      </rPr>
      <t>-1</t>
    </r>
  </si>
  <si>
    <r>
      <t>kg</t>
    </r>
    <r>
      <rPr>
        <vertAlign val="subscript"/>
        <sz val="10"/>
        <rFont val="Arial"/>
        <family val="2"/>
        <charset val="204"/>
      </rPr>
      <t>Sugarbeet</t>
    </r>
    <r>
      <rPr>
        <sz val="10"/>
        <rFont val="Arial"/>
        <charset val="204"/>
      </rPr>
      <t>/MJ</t>
    </r>
    <r>
      <rPr>
        <vertAlign val="subscript"/>
        <sz val="10"/>
        <rFont val="Arial"/>
        <family val="2"/>
        <charset val="204"/>
      </rPr>
      <t>ethanol</t>
    </r>
  </si>
  <si>
    <r>
      <t>kg CO</t>
    </r>
    <r>
      <rPr>
        <vertAlign val="subscript"/>
        <sz val="10"/>
        <rFont val="Arial"/>
        <family val="2"/>
        <charset val="204"/>
      </rPr>
      <t>2, eq</t>
    </r>
  </si>
  <si>
    <t>per ha, year</t>
  </si>
  <si>
    <t>Cultivation of sugarbeet</t>
  </si>
  <si>
    <t xml:space="preserve">  The rules are included in the zip file in which you downloaded this tool. The rules are also available at www.BioGrace.net</t>
  </si>
  <si>
    <r>
      <t xml:space="preserve">  When using this GHG calculation tool, </t>
    </r>
    <r>
      <rPr>
        <b/>
        <sz val="11"/>
        <rFont val="Arial"/>
        <family val="2"/>
        <charset val="204"/>
      </rPr>
      <t xml:space="preserve">the BioGrace calculation rules must be respected. </t>
    </r>
  </si>
  <si>
    <t>As explained in "About" under "Inconsistent use of GWP's"</t>
  </si>
  <si>
    <t>Totals</t>
  </si>
  <si>
    <r>
      <t>Land use change e</t>
    </r>
    <r>
      <rPr>
        <b/>
        <vertAlign val="subscript"/>
        <sz val="12"/>
        <color indexed="9"/>
        <rFont val="Arial"/>
        <family val="2"/>
        <charset val="204"/>
      </rPr>
      <t>l</t>
    </r>
  </si>
  <si>
    <t>Calculations in this Excel sheet……</t>
  </si>
  <si>
    <r>
      <t>Transport e</t>
    </r>
    <r>
      <rPr>
        <b/>
        <vertAlign val="subscript"/>
        <sz val="12"/>
        <color indexed="9"/>
        <rFont val="Arial"/>
        <family val="2"/>
        <charset val="204"/>
      </rPr>
      <t>td</t>
    </r>
  </si>
  <si>
    <r>
      <t>Processing e</t>
    </r>
    <r>
      <rPr>
        <b/>
        <vertAlign val="subscript"/>
        <sz val="12"/>
        <color indexed="9"/>
        <rFont val="Arial"/>
        <family val="2"/>
        <charset val="204"/>
      </rPr>
      <t>p</t>
    </r>
  </si>
  <si>
    <t>GHG emission reduction</t>
  </si>
  <si>
    <t>to Sugar beet pulp</t>
  </si>
  <si>
    <r>
      <t xml:space="preserve"> g CO</t>
    </r>
    <r>
      <rPr>
        <vertAlign val="subscript"/>
        <sz val="10"/>
        <rFont val="Arial"/>
        <family val="2"/>
        <charset val="204"/>
      </rPr>
      <t>2,eq</t>
    </r>
    <r>
      <rPr>
        <sz val="10"/>
        <rFont val="Arial"/>
        <charset val="204"/>
      </rPr>
      <t>/MJ</t>
    </r>
  </si>
  <si>
    <r>
      <t>Cultivation e</t>
    </r>
    <r>
      <rPr>
        <b/>
        <vertAlign val="subscript"/>
        <sz val="12"/>
        <color indexed="9"/>
        <rFont val="Arial"/>
        <family val="2"/>
        <charset val="204"/>
      </rPr>
      <t>ec</t>
    </r>
  </si>
  <si>
    <t>Fossil fuel reference (petrol)</t>
  </si>
  <si>
    <t>RED Annex V.D</t>
  </si>
  <si>
    <t>Default</t>
  </si>
  <si>
    <t>results</t>
  </si>
  <si>
    <t>factor</t>
  </si>
  <si>
    <r>
      <t>g CO</t>
    </r>
    <r>
      <rPr>
        <b/>
        <i/>
        <vertAlign val="subscript"/>
        <sz val="10"/>
        <color indexed="9"/>
        <rFont val="Arial"/>
        <family val="2"/>
        <charset val="204"/>
      </rPr>
      <t>2,eq</t>
    </r>
    <r>
      <rPr>
        <b/>
        <i/>
        <sz val="10"/>
        <color indexed="9"/>
        <rFont val="Arial"/>
        <family val="2"/>
        <charset val="204"/>
      </rPr>
      <t xml:space="preserve"> / MJ</t>
    </r>
    <r>
      <rPr>
        <b/>
        <i/>
        <vertAlign val="subscript"/>
        <sz val="10"/>
        <color indexed="9"/>
        <rFont val="Arial"/>
        <family val="2"/>
        <charset val="204"/>
      </rPr>
      <t>Ethanol</t>
    </r>
  </si>
  <si>
    <t>Emission reduction</t>
  </si>
  <si>
    <t>Allocation factors</t>
  </si>
  <si>
    <t>Default values</t>
  </si>
  <si>
    <t>Actual/</t>
  </si>
  <si>
    <t>Allocated</t>
  </si>
  <si>
    <t xml:space="preserve">Non- allocated </t>
  </si>
  <si>
    <t>All results in</t>
  </si>
  <si>
    <t>Overview Results</t>
  </si>
  <si>
    <t>(steam from NG boiler)</t>
  </si>
  <si>
    <t>Sugarbeet</t>
  </si>
  <si>
    <t>Production of</t>
  </si>
  <si>
    <r>
      <t>MJ / MJ</t>
    </r>
    <r>
      <rPr>
        <vertAlign val="subscript"/>
        <sz val="10"/>
        <rFont val="Arial"/>
        <family val="2"/>
        <charset val="204"/>
      </rPr>
      <t>Wheat, input</t>
    </r>
  </si>
  <si>
    <r>
      <t>ton km / MJ</t>
    </r>
    <r>
      <rPr>
        <vertAlign val="subscript"/>
        <sz val="10"/>
        <rFont val="Arial"/>
        <family val="2"/>
        <charset val="204"/>
      </rPr>
      <t>Wheat, input</t>
    </r>
  </si>
  <si>
    <t>1,14 ton</t>
  </si>
  <si>
    <t>1 ton</t>
  </si>
  <si>
    <t>Output from steam plant, not yet taking own consumption into account</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</si>
  <si>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Lignite CHP</t>
    </r>
  </si>
  <si>
    <t>Emissions from Lignite CHP</t>
  </si>
  <si>
    <t>No emissions calculated as this electricity is taken from the steam plant</t>
  </si>
  <si>
    <t>per kg wheat</t>
  </si>
  <si>
    <r>
      <t>MJ</t>
    </r>
    <r>
      <rPr>
        <vertAlign val="subscript"/>
        <sz val="10"/>
        <rFont val="Arial"/>
        <family val="2"/>
        <charset val="204"/>
      </rPr>
      <t>Wheat</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</si>
  <si>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Wheat</t>
    </r>
    <r>
      <rPr>
        <sz val="10"/>
        <rFont val="Arial"/>
        <charset val="204"/>
      </rPr>
      <t xml:space="preserve"> / MJ</t>
    </r>
    <r>
      <rPr>
        <vertAlign val="subscript"/>
        <sz val="10"/>
        <rFont val="Arial"/>
        <family val="2"/>
        <charset val="204"/>
      </rPr>
      <t>Wheat</t>
    </r>
  </si>
  <si>
    <t>Transport of wheat</t>
  </si>
  <si>
    <r>
      <t>MJ</t>
    </r>
    <r>
      <rPr>
        <sz val="10"/>
        <rFont val="Arial"/>
        <charset val="204"/>
      </rPr>
      <t xml:space="preserve"> / MJ</t>
    </r>
    <r>
      <rPr>
        <vertAlign val="subscript"/>
        <sz val="10"/>
        <rFont val="Arial"/>
        <family val="2"/>
        <charset val="204"/>
      </rPr>
      <t>Wheat</t>
    </r>
  </si>
  <si>
    <r>
      <t xml:space="preserve">Дані для 7 культур доступні в цьому інструменті. </t>
    </r>
    <r>
      <rPr>
        <u/>
        <sz val="10"/>
        <rFont val="Arial"/>
        <family val="2"/>
        <charset val="204"/>
      </rPr>
      <t>Будь ласка, зверніть увагу, що ви можете додати культури шляхом заповнення таблиці 1 і таблиці 4.</t>
    </r>
  </si>
  <si>
    <t>МДж/кг етанолу</t>
  </si>
  <si>
    <t>т. етанолу</t>
  </si>
  <si>
    <t>МДж/кг пшениці</t>
  </si>
  <si>
    <t>т. пшениці</t>
  </si>
  <si>
    <r>
      <t>ton</t>
    </r>
    <r>
      <rPr>
        <vertAlign val="subscript"/>
        <sz val="10"/>
        <rFont val="Arial"/>
        <family val="2"/>
        <charset val="204"/>
      </rPr>
      <t>DDGS</t>
    </r>
    <r>
      <rPr>
        <sz val="10"/>
        <rFont val="Arial"/>
        <charset val="204"/>
      </rPr>
      <t xml:space="preserve"> / ton</t>
    </r>
    <r>
      <rPr>
        <vertAlign val="subscript"/>
        <sz val="10"/>
        <rFont val="Arial"/>
        <family val="2"/>
        <charset val="204"/>
      </rPr>
      <t>Ethanol</t>
    </r>
  </si>
  <si>
    <t>Посів - пшениця</t>
  </si>
  <si>
    <r>
      <t>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-fertiliser (kg 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t>
    </r>
  </si>
  <si>
    <r>
      <t>K</t>
    </r>
    <r>
      <rPr>
        <vertAlign val="subscript"/>
        <sz val="10"/>
        <rFont val="Verdana"/>
        <family val="2"/>
        <charset val="204"/>
      </rPr>
      <t>2</t>
    </r>
    <r>
      <rPr>
        <sz val="10"/>
        <rFont val="Verdana"/>
        <charset val="204"/>
      </rPr>
      <t>O-fertiliser (kg K</t>
    </r>
    <r>
      <rPr>
        <vertAlign val="subscript"/>
        <sz val="10"/>
        <rFont val="Verdana"/>
        <family val="2"/>
        <charset val="204"/>
      </rPr>
      <t>2</t>
    </r>
    <r>
      <rPr>
        <sz val="10"/>
        <rFont val="Verdana"/>
        <charset val="204"/>
      </rPr>
      <t>O)</t>
    </r>
  </si>
  <si>
    <t>МДж/гa</t>
  </si>
  <si>
    <t>МДж/кг</t>
  </si>
  <si>
    <t>кг дизелю/гa</t>
  </si>
  <si>
    <t>Агро Хімікати</t>
  </si>
  <si>
    <t>кгN/гa</t>
  </si>
  <si>
    <t xml:space="preserve"> понад 120 кг N</t>
  </si>
  <si>
    <t>від 61 до120 кг N</t>
  </si>
  <si>
    <t>до 60 кг N</t>
  </si>
  <si>
    <t>Нітрат Амонію</t>
  </si>
  <si>
    <t>Культури</t>
  </si>
  <si>
    <t>Значення , що надані зацікавленими сторонами</t>
  </si>
  <si>
    <t xml:space="preserve"> Добрива</t>
  </si>
  <si>
    <t>Вхідні дані:</t>
  </si>
  <si>
    <r>
      <t xml:space="preserve">  </t>
    </r>
    <r>
      <rPr>
        <sz val="20"/>
        <rFont val="Symbol"/>
      </rPr>
      <t>·</t>
    </r>
    <r>
      <rPr>
        <sz val="20"/>
        <rFont val="Arial"/>
        <family val="2"/>
        <charset val="204"/>
      </rPr>
      <t xml:space="preserve"> Зберіть всі дані та розкладіть їх у правильні комірки</t>
    </r>
  </si>
  <si>
    <r>
      <t xml:space="preserve">  </t>
    </r>
    <r>
      <rPr>
        <sz val="20"/>
        <rFont val="Symbol"/>
      </rPr>
      <t>·</t>
    </r>
    <r>
      <rPr>
        <sz val="20"/>
        <rFont val="Arial"/>
        <family val="2"/>
        <charset val="204"/>
      </rPr>
      <t xml:space="preserve"> В цьому прикладі ми використовуємо дані з північно-західного регіону (NUTS-2) в Болгарії</t>
    </r>
  </si>
  <si>
    <t>Етанол з цукрового буряку</t>
  </si>
  <si>
    <t>Приклад 1</t>
  </si>
  <si>
    <t>Emission Reduction:</t>
  </si>
  <si>
    <t>Total emission with allocation:</t>
  </si>
  <si>
    <t>Total emission without allocation:</t>
  </si>
  <si>
    <r>
      <t>MJ</t>
    </r>
    <r>
      <rPr>
        <vertAlign val="subscript"/>
        <sz val="10"/>
        <rFont val="Arial"/>
        <family val="2"/>
        <charset val="204"/>
      </rPr>
      <t>Ethanol</t>
    </r>
    <r>
      <rPr>
        <sz val="10"/>
        <rFont val="Arial"/>
        <charset val="204"/>
      </rPr>
      <t xml:space="preserve"> / MJ</t>
    </r>
    <r>
      <rPr>
        <vertAlign val="subscript"/>
        <sz val="10"/>
        <rFont val="Arial"/>
        <family val="2"/>
        <charset val="204"/>
      </rPr>
      <t>Sugarbeet, input</t>
    </r>
  </si>
  <si>
    <t>Yield (in MJ biofuel / MJ input)</t>
  </si>
  <si>
    <t>Yield (in MJ biofuel / hectare cropland / year)</t>
  </si>
  <si>
    <t>Quantity of product</t>
  </si>
  <si>
    <t>Total result</t>
  </si>
  <si>
    <t>Result</t>
  </si>
  <si>
    <r>
      <t>g CO</t>
    </r>
    <r>
      <rPr>
        <vertAlign val="subscript"/>
        <sz val="10"/>
        <rFont val="Arial"/>
        <family val="2"/>
        <charset val="204"/>
      </rPr>
      <t>2,eq</t>
    </r>
    <r>
      <rPr>
        <sz val="10"/>
        <rFont val="Arial"/>
        <charset val="204"/>
      </rPr>
      <t xml:space="preserve"> / MJ</t>
    </r>
    <r>
      <rPr>
        <vertAlign val="subscript"/>
        <sz val="10"/>
        <rFont val="Arial"/>
        <family val="2"/>
        <charset val="204"/>
      </rPr>
      <t>Ethanol</t>
    </r>
  </si>
  <si>
    <t>Emissions per MJ ethanol</t>
  </si>
  <si>
    <r>
      <t>ton CO</t>
    </r>
    <r>
      <rPr>
        <vertAlign val="subscript"/>
        <sz val="10"/>
        <rFont val="Arial"/>
        <family val="2"/>
        <charset val="204"/>
      </rPr>
      <t>2</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</si>
  <si>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g N</t>
    </r>
    <r>
      <rPr>
        <vertAlign val="subscript"/>
        <sz val="10"/>
        <rFont val="Arial"/>
        <family val="2"/>
        <charset val="204"/>
      </rPr>
      <t>2</t>
    </r>
    <r>
      <rPr>
        <sz val="10"/>
        <rFont val="Arial"/>
        <charset val="204"/>
      </rPr>
      <t>O</t>
    </r>
  </si>
  <si>
    <t xml:space="preserve">Does improved agricultural management occurs? </t>
  </si>
  <si>
    <t>Soil carbon accumulation</t>
  </si>
  <si>
    <t>Improved agricultural management</t>
  </si>
  <si>
    <t>Bonus (eB)</t>
  </si>
  <si>
    <t xml:space="preserve">Resulting land use change  </t>
  </si>
  <si>
    <t xml:space="preserve">Does land use change occur? </t>
  </si>
  <si>
    <t>Land use change</t>
  </si>
  <si>
    <t>Land use change, including bonus for production on non-agriculture or degraded land</t>
  </si>
  <si>
    <r>
      <t>MJ / MJ</t>
    </r>
    <r>
      <rPr>
        <vertAlign val="subscript"/>
        <sz val="10"/>
        <rFont val="Arial"/>
        <family val="2"/>
        <charset val="204"/>
      </rPr>
      <t>Ethanol</t>
    </r>
  </si>
  <si>
    <r>
      <t>MJ / MJ</t>
    </r>
    <r>
      <rPr>
        <vertAlign val="subscript"/>
        <sz val="10"/>
        <rFont val="Arial"/>
        <family val="2"/>
        <charset val="204"/>
      </rPr>
      <t>Sugarbeet, input</t>
    </r>
  </si>
  <si>
    <t>per kg ethanol</t>
  </si>
  <si>
    <r>
      <t>MJ</t>
    </r>
    <r>
      <rPr>
        <vertAlign val="subscript"/>
        <sz val="10"/>
        <rFont val="Arial"/>
        <family val="2"/>
        <charset val="204"/>
      </rPr>
      <t>Ethanol</t>
    </r>
    <r>
      <rPr>
        <sz val="10"/>
        <rFont val="Arial"/>
        <charset val="204"/>
      </rPr>
      <t xml:space="preserve"> / MJ</t>
    </r>
    <r>
      <rPr>
        <vertAlign val="subscript"/>
        <sz val="10"/>
        <rFont val="Arial"/>
        <family val="2"/>
        <charset val="204"/>
      </rPr>
      <t>Ethanol</t>
    </r>
  </si>
  <si>
    <t>Info</t>
  </si>
  <si>
    <t>Filling station</t>
  </si>
  <si>
    <r>
      <t>ton km / MJ</t>
    </r>
    <r>
      <rPr>
        <vertAlign val="subscript"/>
        <sz val="10"/>
        <rFont val="Arial"/>
        <family val="2"/>
        <charset val="204"/>
      </rPr>
      <t>Sugarbeet, input</t>
    </r>
  </si>
  <si>
    <t>Calculated emissions</t>
  </si>
  <si>
    <t>to and from depot</t>
  </si>
  <si>
    <t>Transport of ethanol</t>
  </si>
  <si>
    <t>Total emission after allocation:</t>
  </si>
  <si>
    <t>MJ</t>
  </si>
  <si>
    <t>Total:</t>
  </si>
  <si>
    <r>
      <t>g CO</t>
    </r>
    <r>
      <rPr>
        <vertAlign val="subscript"/>
        <sz val="10"/>
        <rFont val="Arial"/>
        <family val="2"/>
        <charset val="204"/>
      </rPr>
      <t>2,eq</t>
    </r>
    <r>
      <rPr>
        <sz val="10"/>
        <rFont val="Arial"/>
        <charset val="204"/>
      </rPr>
      <t xml:space="preserve"> / MJ</t>
    </r>
    <r>
      <rPr>
        <vertAlign val="subscript"/>
        <sz val="10"/>
        <rFont val="Arial"/>
        <family val="2"/>
        <charset val="204"/>
      </rPr>
      <t>ethanol</t>
    </r>
  </si>
  <si>
    <r>
      <t>N</t>
    </r>
    <r>
      <rPr>
        <vertAlign val="subscript"/>
        <sz val="10"/>
        <rFont val="Arial"/>
        <family val="2"/>
        <charset val="204"/>
      </rPr>
      <t>2</t>
    </r>
    <r>
      <rPr>
        <sz val="10"/>
        <rFont val="Arial"/>
        <charset val="204"/>
      </rPr>
      <t>O_N</t>
    </r>
  </si>
  <si>
    <r>
      <t>Азотна маса у N</t>
    </r>
    <r>
      <rPr>
        <vertAlign val="subscript"/>
        <sz val="10"/>
        <rFont val="Arial"/>
        <family val="2"/>
        <charset val="204"/>
      </rPr>
      <t>2</t>
    </r>
    <r>
      <rPr>
        <sz val="10"/>
        <rFont val="Arial"/>
        <charset val="204"/>
      </rPr>
      <t>O</t>
    </r>
  </si>
  <si>
    <t>Тони</t>
  </si>
  <si>
    <r>
      <t xml:space="preserve">кг </t>
    </r>
    <r>
      <rPr>
        <vertAlign val="subscript"/>
        <sz val="10"/>
        <rFont val="Arial"/>
        <family val="2"/>
        <charset val="204"/>
      </rPr>
      <t>dm</t>
    </r>
    <r>
      <rPr>
        <sz val="10"/>
        <rFont val="Arial"/>
        <charset val="204"/>
      </rPr>
      <t>/гa/рік</t>
    </r>
  </si>
  <si>
    <t>Вологість (%)</t>
  </si>
  <si>
    <r>
      <t xml:space="preserve">кг </t>
    </r>
    <r>
      <rPr>
        <vertAlign val="subscript"/>
        <sz val="10"/>
        <rFont val="Arial"/>
        <family val="2"/>
        <charset val="204"/>
      </rPr>
      <t>fm</t>
    </r>
    <r>
      <rPr>
        <sz val="10"/>
        <rFont val="Arial"/>
        <charset val="204"/>
      </rPr>
      <t>/гa/рік</t>
    </r>
  </si>
  <si>
    <t>Соняшник</t>
  </si>
  <si>
    <t>Назва культури</t>
  </si>
  <si>
    <t xml:space="preserve">Таблиця 1: Культури, що розглядаються в цьому інструменті </t>
  </si>
  <si>
    <t>Основна інформація</t>
  </si>
  <si>
    <t xml:space="preserve">Будь ласка, введіть дані вашої культури в синіх клітинах. </t>
  </si>
  <si>
    <t>Дані культури</t>
  </si>
  <si>
    <r>
      <t>(1) МГЕЗК 2006, 2006 Керівні принципи МГЕЗК для національних кадастрів парникових газів, підготовлений Програмою національних кадастрів парникових газів, Егглстон УГ, Буендіа Л., Міва K., Нгар Т. і К. Танабе (ред). Опубліковано: IGES, Японія. Глава 11 про викиди N</t>
    </r>
    <r>
      <rPr>
        <i/>
        <vertAlign val="subscript"/>
        <sz val="10"/>
        <rFont val="Arial"/>
        <family val="2"/>
        <charset val="204"/>
      </rPr>
      <t>2</t>
    </r>
    <r>
      <rPr>
        <i/>
        <sz val="10"/>
        <rFont val="Arial"/>
        <family val="2"/>
        <charset val="204"/>
      </rPr>
      <t>O з оброблюваних грунтів.</t>
    </r>
  </si>
  <si>
    <r>
      <t xml:space="preserve">Рівняння 11.X </t>
    </r>
    <r>
      <rPr>
        <sz val="10"/>
        <rFont val="Arial"/>
        <charset val="204"/>
      </rPr>
      <t>надає Вам значення рівняння у главі 11 звіту МГЕЗК.</t>
    </r>
  </si>
  <si>
    <t>Дані для 7 культур доступні в цьому інструменті. Будь ласка, зверніть увагу, що ви можете додати культури шляхом заповнення таблиці 1 і таблиці 4.</t>
  </si>
  <si>
    <r>
      <t>Цей аркуш розраховує викиди N</t>
    </r>
    <r>
      <rPr>
        <vertAlign val="subscript"/>
        <sz val="10"/>
        <rFont val="Arial"/>
        <family val="2"/>
        <charset val="204"/>
      </rPr>
      <t>2</t>
    </r>
    <r>
      <rPr>
        <sz val="10"/>
        <color indexed="8"/>
        <rFont val="Arial"/>
        <family val="2"/>
        <charset val="204"/>
      </rPr>
      <t>O від вирощування культур</t>
    </r>
  </si>
  <si>
    <t>EF5</t>
  </si>
  <si>
    <t>Коефіцієнт викидів для вимивання нітратів (МГЕЗК, Етап 1):</t>
  </si>
  <si>
    <t>NO3</t>
  </si>
  <si>
    <r>
      <t>Коефіцієнт викидів для випаровування NH</t>
    </r>
    <r>
      <rPr>
        <vertAlign val="subscript"/>
        <sz val="9"/>
        <color indexed="16"/>
        <rFont val="Arial"/>
        <family val="2"/>
        <charset val="204"/>
      </rPr>
      <t>3</t>
    </r>
    <r>
      <rPr>
        <sz val="9"/>
        <color indexed="16"/>
        <rFont val="Arial"/>
        <family val="2"/>
        <charset val="204"/>
      </rPr>
      <t xml:space="preserve"> (МГЕЗК, Етап 1): </t>
    </r>
  </si>
  <si>
    <t>Frac LEACH(H)</t>
  </si>
  <si>
    <t>FSOM</t>
  </si>
  <si>
    <r>
      <t>NO</t>
    </r>
    <r>
      <rPr>
        <vertAlign val="subscript"/>
        <sz val="10"/>
        <rFont val="Arial"/>
        <family val="2"/>
        <charset val="204"/>
      </rPr>
      <t>3</t>
    </r>
    <r>
      <rPr>
        <sz val="10"/>
        <rFont val="Arial"/>
        <charset val="204"/>
      </rPr>
      <t>_N (кг)</t>
    </r>
  </si>
  <si>
    <t>Кількість вимивання нітратів (МГЕЗК, Етап 1):</t>
  </si>
  <si>
    <t>FCR</t>
  </si>
  <si>
    <r>
      <t>NH</t>
    </r>
    <r>
      <rPr>
        <vertAlign val="subscript"/>
        <sz val="10"/>
        <rFont val="Arial"/>
        <family val="2"/>
        <charset val="204"/>
      </rPr>
      <t>3</t>
    </r>
    <r>
      <rPr>
        <sz val="10"/>
        <rFont val="Arial"/>
        <charset val="204"/>
      </rPr>
      <t>_N (кг)</t>
    </r>
  </si>
  <si>
    <r>
      <t>Кількість випаровування NH</t>
    </r>
    <r>
      <rPr>
        <vertAlign val="subscript"/>
        <sz val="10"/>
        <rFont val="Arial"/>
        <family val="2"/>
        <charset val="204"/>
      </rPr>
      <t xml:space="preserve">3 </t>
    </r>
    <r>
      <rPr>
        <sz val="10"/>
        <rFont val="Arial"/>
        <charset val="204"/>
      </rPr>
      <t xml:space="preserve">(МГЕЗК, Етап 1): </t>
    </r>
  </si>
  <si>
    <t>FON</t>
  </si>
  <si>
    <t>FSN</t>
  </si>
  <si>
    <r>
      <t>N</t>
    </r>
    <r>
      <rPr>
        <vertAlign val="subscript"/>
        <sz val="10"/>
        <rFont val="Arial"/>
        <family val="2"/>
        <charset val="204"/>
      </rPr>
      <t xml:space="preserve">AG </t>
    </r>
    <r>
      <rPr>
        <sz val="10"/>
        <rFont val="Arial"/>
        <charset val="204"/>
      </rPr>
      <t xml:space="preserve">= </t>
    </r>
  </si>
  <si>
    <r>
      <t>R</t>
    </r>
    <r>
      <rPr>
        <vertAlign val="subscript"/>
        <sz val="10"/>
        <rFont val="Arial"/>
        <family val="2"/>
        <charset val="204"/>
      </rPr>
      <t xml:space="preserve">AG(T) </t>
    </r>
    <r>
      <rPr>
        <sz val="10"/>
        <rFont val="Arial"/>
        <charset val="204"/>
      </rPr>
      <t xml:space="preserve">= </t>
    </r>
  </si>
  <si>
    <t>Відносно культури T</t>
  </si>
  <si>
    <t>дані з'являються тільки тоді, коли потрібно</t>
  </si>
  <si>
    <r>
      <t>Інші прямі викиди N</t>
    </r>
    <r>
      <rPr>
        <b/>
        <u/>
        <vertAlign val="subscript"/>
        <sz val="10"/>
        <rFont val="Arial"/>
        <family val="2"/>
        <charset val="204"/>
      </rPr>
      <t>2</t>
    </r>
    <r>
      <rPr>
        <b/>
        <u/>
        <sz val="10"/>
        <rFont val="Arial"/>
        <family val="2"/>
        <charset val="204"/>
      </rPr>
      <t>O (спалення сміття)</t>
    </r>
  </si>
  <si>
    <t>Словник для Таблиці 2, 3 та 4</t>
  </si>
  <si>
    <t>Таблиця 5</t>
  </si>
  <si>
    <t>Рів.11.2</t>
  </si>
  <si>
    <r>
      <t>N</t>
    </r>
    <r>
      <rPr>
        <vertAlign val="subscript"/>
        <sz val="10"/>
        <rFont val="Arial"/>
        <family val="2"/>
        <charset val="204"/>
      </rPr>
      <t>2</t>
    </r>
    <r>
      <rPr>
        <sz val="10"/>
        <rFont val="Arial"/>
        <charset val="204"/>
      </rPr>
      <t xml:space="preserve">O_N </t>
    </r>
    <r>
      <rPr>
        <vertAlign val="subscript"/>
        <sz val="10"/>
        <rFont val="Arial"/>
        <family val="2"/>
        <charset val="204"/>
      </rPr>
      <t>N inputs</t>
    </r>
  </si>
  <si>
    <r>
      <t>Розраховані прямі викиди N</t>
    </r>
    <r>
      <rPr>
        <vertAlign val="subscript"/>
        <sz val="10"/>
        <rFont val="Arial"/>
        <family val="2"/>
        <charset val="204"/>
      </rPr>
      <t>2</t>
    </r>
    <r>
      <rPr>
        <sz val="10"/>
        <rFont val="Arial"/>
        <charset val="204"/>
      </rPr>
      <t xml:space="preserve">O </t>
    </r>
  </si>
  <si>
    <t>Нова культура 4</t>
  </si>
  <si>
    <t>Нова культура 3</t>
  </si>
  <si>
    <t>Нова культура 2</t>
  </si>
  <si>
    <t>Рів. 11.7A</t>
  </si>
  <si>
    <t>кг/гa/рік</t>
  </si>
  <si>
    <t>Нова культура 1</t>
  </si>
  <si>
    <t>Рів. 11.6</t>
  </si>
  <si>
    <t>Коефіцієнт викидів для прямих викидів (МГЕЗК, Етап 1)</t>
  </si>
  <si>
    <t>МГЕЗК 2006, глава 11</t>
  </si>
  <si>
    <t>Пальма</t>
  </si>
  <si>
    <t>Соя</t>
  </si>
  <si>
    <t>N мінералізований</t>
  </si>
  <si>
    <t>Рапс</t>
  </si>
  <si>
    <t>Рів. 11.8</t>
  </si>
  <si>
    <t>кг N/гa</t>
  </si>
  <si>
    <t>Кукудза</t>
  </si>
  <si>
    <t>N в азотних добривах</t>
  </si>
  <si>
    <r>
      <t>Викиди N</t>
    </r>
    <r>
      <rPr>
        <b/>
        <u/>
        <vertAlign val="subscript"/>
        <sz val="10"/>
        <rFont val="Arial"/>
        <family val="2"/>
        <charset val="204"/>
      </rPr>
      <t>2</t>
    </r>
    <r>
      <rPr>
        <b/>
        <u/>
        <sz val="10"/>
        <rFont val="Arial"/>
        <family val="2"/>
        <charset val="204"/>
      </rPr>
      <t>O з азотних добрив:</t>
    </r>
  </si>
  <si>
    <t>Джерела</t>
  </si>
  <si>
    <t>Перехоплення</t>
  </si>
  <si>
    <t>Відхилення</t>
  </si>
  <si>
    <t>Таблиця 4</t>
  </si>
  <si>
    <t xml:space="preserve">Мініралізований азот від LUC = </t>
  </si>
  <si>
    <t>Таблиця 3</t>
  </si>
  <si>
    <t xml:space="preserve">Азот у рослинних залишках   </t>
  </si>
  <si>
    <t>Таблиця 2</t>
  </si>
  <si>
    <t xml:space="preserve">Будь ласка введіть азотні додатки у вигляді синтетичних або органічних добрив у синіх клітинaх  </t>
  </si>
  <si>
    <t xml:space="preserve"> Текст з'являється, коли відповідна імпортована культура обрана в попередньому розділі (клітина C15).</t>
  </si>
  <si>
    <t>Будь ласка, заповніть наступні клітини, тільки якщо з'являється текст.</t>
  </si>
  <si>
    <t>Спеціальна інформація для деяких імпортованих культур</t>
  </si>
  <si>
    <t>т/гa/рік</t>
  </si>
  <si>
    <t xml:space="preserve">Використовуйте "орні до орних земель" у разі модифікованих методик </t>
  </si>
  <si>
    <t xml:space="preserve">Який тип зміни землекористування?  </t>
  </si>
  <si>
    <t>Спеціальна інформація в разі змін у землекористуванні або модифікації методів управління</t>
  </si>
  <si>
    <r>
      <t>Фракції синтетичного добрива N, які випаровується у вигляді NH</t>
    </r>
    <r>
      <rPr>
        <vertAlign val="subscript"/>
        <sz val="10"/>
        <rFont val="Arial"/>
        <family val="2"/>
        <charset val="204"/>
      </rPr>
      <t>3</t>
    </r>
    <r>
      <rPr>
        <sz val="10"/>
        <rFont val="Arial"/>
        <charset val="204"/>
      </rPr>
      <t xml:space="preserve"> і NO</t>
    </r>
    <r>
      <rPr>
        <vertAlign val="subscript"/>
        <sz val="10"/>
        <rFont val="Arial"/>
        <family val="2"/>
        <charset val="204"/>
      </rPr>
      <t>x</t>
    </r>
    <r>
      <rPr>
        <sz val="10"/>
        <rFont val="Arial"/>
        <charset val="204"/>
      </rPr>
      <t>, кг випареного азоту (кг N застосовується) -1</t>
    </r>
  </si>
  <si>
    <t>Коефіцієнт викидів для вимивання нітратів (МГЕЗК Етап 1):</t>
  </si>
  <si>
    <r>
      <t>Фракції доданого органічних азотних добривних матеріалів та мочевини тощо, що випаровується у вигляді NH</t>
    </r>
    <r>
      <rPr>
        <vertAlign val="subscript"/>
        <sz val="10"/>
        <rFont val="Arial"/>
        <family val="2"/>
        <charset val="204"/>
      </rPr>
      <t>3</t>
    </r>
    <r>
      <rPr>
        <sz val="10"/>
        <rFont val="Arial"/>
        <charset val="204"/>
      </rPr>
      <t xml:space="preserve"> і NO</t>
    </r>
    <r>
      <rPr>
        <vertAlign val="subscript"/>
        <sz val="10"/>
        <rFont val="Arial"/>
        <family val="2"/>
        <charset val="204"/>
      </rPr>
      <t>x</t>
    </r>
    <r>
      <rPr>
        <sz val="10"/>
        <rFont val="Arial"/>
        <charset val="204"/>
      </rPr>
      <t>, кг N</t>
    </r>
  </si>
  <si>
    <r>
      <t>кг NO</t>
    </r>
    <r>
      <rPr>
        <b/>
        <vertAlign val="subscript"/>
        <sz val="10"/>
        <rFont val="Arial"/>
        <family val="2"/>
        <charset val="204"/>
      </rPr>
      <t>3</t>
    </r>
    <r>
      <rPr>
        <b/>
        <sz val="10"/>
        <rFont val="Arial"/>
        <family val="2"/>
        <charset val="204"/>
      </rPr>
      <t>_N/гa/рік</t>
    </r>
  </si>
  <si>
    <r>
      <t>Коефіцієнт викидів для випаровування NH</t>
    </r>
    <r>
      <rPr>
        <vertAlign val="subscript"/>
        <sz val="9"/>
        <color indexed="16"/>
        <rFont val="Arial"/>
        <family val="2"/>
        <charset val="204"/>
      </rPr>
      <t>3</t>
    </r>
    <r>
      <rPr>
        <sz val="9"/>
        <color indexed="16"/>
        <rFont val="Arial"/>
        <family val="2"/>
        <charset val="204"/>
      </rPr>
      <t xml:space="preserve"> (МГЕЗК Етап 1): </t>
    </r>
  </si>
  <si>
    <r>
      <t>кг NH</t>
    </r>
    <r>
      <rPr>
        <b/>
        <vertAlign val="subscript"/>
        <sz val="10"/>
        <rFont val="Arial"/>
        <family val="2"/>
        <charset val="204"/>
      </rPr>
      <t>3</t>
    </r>
    <r>
      <rPr>
        <b/>
        <sz val="10"/>
        <rFont val="Arial"/>
        <family val="2"/>
        <charset val="204"/>
      </rPr>
      <t>_N/га/рік</t>
    </r>
  </si>
  <si>
    <t>кг N/гa/рік</t>
  </si>
  <si>
    <t xml:space="preserve">Мініралізований азот </t>
  </si>
  <si>
    <r>
      <t>NO</t>
    </r>
    <r>
      <rPr>
        <vertAlign val="subscript"/>
        <sz val="10"/>
        <rFont val="Arial"/>
        <family val="2"/>
        <charset val="204"/>
      </rPr>
      <t>3</t>
    </r>
    <r>
      <rPr>
        <sz val="10"/>
        <rFont val="Arial"/>
        <charset val="204"/>
      </rPr>
      <t>_N (kg)</t>
    </r>
  </si>
  <si>
    <t>Кількість вимивання нітратів (МГЕЗК Метод. 1):</t>
  </si>
  <si>
    <t>N у рослинних залишках</t>
  </si>
  <si>
    <r>
      <t>NH</t>
    </r>
    <r>
      <rPr>
        <vertAlign val="subscript"/>
        <sz val="10"/>
        <rFont val="Arial"/>
        <family val="2"/>
        <charset val="204"/>
      </rPr>
      <t>3</t>
    </r>
    <r>
      <rPr>
        <sz val="10"/>
        <rFont val="Arial"/>
        <charset val="204"/>
      </rPr>
      <t>_N (kg)</t>
    </r>
  </si>
  <si>
    <r>
      <t>Кількість випаровування NH</t>
    </r>
    <r>
      <rPr>
        <vertAlign val="subscript"/>
        <sz val="10"/>
        <rFont val="Arial"/>
        <family val="2"/>
        <charset val="204"/>
      </rPr>
      <t xml:space="preserve">3 </t>
    </r>
    <r>
      <rPr>
        <sz val="10"/>
        <rFont val="Arial"/>
        <charset val="204"/>
      </rPr>
      <t xml:space="preserve">(МГЕЗК Метод. 1): </t>
    </r>
  </si>
  <si>
    <t>N в органічних добривах</t>
  </si>
  <si>
    <t>Внесені органічні добрива</t>
  </si>
  <si>
    <t>N в синтетичних добривах</t>
  </si>
  <si>
    <t>Внесені штучні добрива</t>
  </si>
  <si>
    <t xml:space="preserve">Дивіться МГЕЗК, глава 11 </t>
  </si>
  <si>
    <t>Словник для таблиць 6, 7</t>
  </si>
  <si>
    <t>Таблиця 8</t>
  </si>
  <si>
    <t>Рів.11.10</t>
  </si>
  <si>
    <t xml:space="preserve">Вилуговування  </t>
  </si>
  <si>
    <t>Таблиця 7</t>
  </si>
  <si>
    <t>Рів.11.9</t>
  </si>
  <si>
    <t xml:space="preserve">Випаровування </t>
  </si>
  <si>
    <t>Таблиця 6</t>
  </si>
  <si>
    <r>
      <t>Непрямі викиди N</t>
    </r>
    <r>
      <rPr>
        <b/>
        <vertAlign val="subscript"/>
        <sz val="10"/>
        <color indexed="19"/>
        <rFont val="Arial"/>
        <family val="2"/>
        <charset val="204"/>
      </rPr>
      <t>2</t>
    </r>
    <r>
      <rPr>
        <b/>
        <sz val="10"/>
        <color indexed="19"/>
        <rFont val="Arial"/>
        <family val="2"/>
        <charset val="204"/>
      </rPr>
      <t>O з оброблених грунтів (Етап 1)</t>
    </r>
  </si>
  <si>
    <t>Співвідношення підземних залишків до надземної біомаси</t>
  </si>
  <si>
    <r>
      <t>R</t>
    </r>
    <r>
      <rPr>
        <vertAlign val="subscript"/>
        <sz val="10"/>
        <rFont val="Arial"/>
        <family val="2"/>
        <charset val="204"/>
      </rPr>
      <t xml:space="preserve">BG-BIO(T) </t>
    </r>
    <r>
      <rPr>
        <sz val="10"/>
        <rFont val="Arial"/>
        <charset val="204"/>
      </rPr>
      <t xml:space="preserve">= </t>
    </r>
  </si>
  <si>
    <r>
      <t>ВСЬОГО прямих викидів N</t>
    </r>
    <r>
      <rPr>
        <b/>
        <vertAlign val="subscript"/>
        <sz val="10"/>
        <rFont val="Arial"/>
        <family val="2"/>
        <charset val="204"/>
      </rPr>
      <t>2</t>
    </r>
    <r>
      <rPr>
        <b/>
        <sz val="10"/>
        <rFont val="Arial"/>
        <family val="2"/>
        <charset val="204"/>
      </rPr>
      <t xml:space="preserve">O: </t>
    </r>
  </si>
  <si>
    <t>Низька теплотворна здатність</t>
  </si>
  <si>
    <r>
      <t xml:space="preserve"> BG</t>
    </r>
    <r>
      <rPr>
        <vertAlign val="subscript"/>
        <sz val="10"/>
        <rFont val="Arial"/>
        <family val="2"/>
        <charset val="204"/>
      </rPr>
      <t>DM(T)</t>
    </r>
    <r>
      <rPr>
        <sz val="10"/>
        <rFont val="Arial"/>
        <charset val="204"/>
      </rPr>
      <t xml:space="preserve"> = </t>
    </r>
  </si>
  <si>
    <r>
      <t>Значення AG</t>
    </r>
    <r>
      <rPr>
        <vertAlign val="subscript"/>
        <sz val="10"/>
        <rFont val="Arial"/>
        <family val="2"/>
        <charset val="204"/>
      </rPr>
      <t>DM(T)</t>
    </r>
    <r>
      <rPr>
        <sz val="10"/>
        <rFont val="Arial"/>
        <charset val="204"/>
      </rPr>
      <t>у врожайності = 0</t>
    </r>
  </si>
  <si>
    <t xml:space="preserve"> Співвідношення підземних відходів до зібраної культури  T</t>
  </si>
  <si>
    <r>
      <t>R</t>
    </r>
    <r>
      <rPr>
        <vertAlign val="subscript"/>
        <sz val="10"/>
        <rFont val="Arial"/>
        <family val="2"/>
        <charset val="204"/>
      </rPr>
      <t>BG(T)</t>
    </r>
    <r>
      <rPr>
        <sz val="10"/>
        <rFont val="Arial"/>
        <charset val="204"/>
      </rPr>
      <t xml:space="preserve"> = </t>
    </r>
  </si>
  <si>
    <r>
      <t>Нахил кривої зв'язує AG</t>
    </r>
    <r>
      <rPr>
        <vertAlign val="subscript"/>
        <sz val="10"/>
        <rFont val="Arial"/>
        <family val="2"/>
        <charset val="204"/>
      </rPr>
      <t xml:space="preserve">DM (Т) </t>
    </r>
    <r>
      <rPr>
        <sz val="10"/>
        <rFont val="Arial"/>
        <charset val="204"/>
      </rPr>
      <t>з врожайністю</t>
    </r>
  </si>
  <si>
    <r>
      <t>ВСЬОГО прямих викидів N</t>
    </r>
    <r>
      <rPr>
        <b/>
        <u/>
        <vertAlign val="subscript"/>
        <sz val="10"/>
        <rFont val="Arial"/>
        <family val="2"/>
        <charset val="204"/>
      </rPr>
      <t>2</t>
    </r>
    <r>
      <rPr>
        <b/>
        <u/>
        <sz val="10"/>
        <rFont val="Arial"/>
        <family val="2"/>
        <charset val="204"/>
      </rPr>
      <t xml:space="preserve">O </t>
    </r>
  </si>
  <si>
    <t xml:space="preserve">Вміст азоту у підземних відходах </t>
  </si>
  <si>
    <r>
      <t>N</t>
    </r>
    <r>
      <rPr>
        <vertAlign val="subscript"/>
        <sz val="10"/>
        <rFont val="Arial"/>
        <family val="2"/>
        <charset val="204"/>
      </rPr>
      <t>BG</t>
    </r>
    <r>
      <rPr>
        <sz val="10"/>
        <rFont val="Arial"/>
        <charset val="204"/>
      </rPr>
      <t xml:space="preserve"> = </t>
    </r>
  </si>
  <si>
    <t>Референтні методи управління</t>
  </si>
  <si>
    <t>Визначення (взяті з Рішення Комісії та / або Директиви)</t>
  </si>
  <si>
    <t>Будь ласка, зверніть увагу, якщо дані методи не засновані на вимірах, вони повинні брати до уваги клімат, тип ґрунту, рослинний покрив, землекористування та добрива.</t>
  </si>
  <si>
    <t>В якості альтернативи використання цих даних, інші відповідні методи, у тому числі вимірювання, можуть бути використані для визначення SOC.</t>
  </si>
  <si>
    <t>Основні принципи</t>
  </si>
  <si>
    <r>
      <t>кг N</t>
    </r>
    <r>
      <rPr>
        <b/>
        <vertAlign val="subscript"/>
        <sz val="10"/>
        <rFont val="Arial"/>
        <family val="2"/>
        <charset val="204"/>
      </rPr>
      <t>2</t>
    </r>
    <r>
      <rPr>
        <b/>
        <sz val="10"/>
        <rFont val="Arial"/>
        <family val="2"/>
        <charset val="204"/>
      </rPr>
      <t>O/гa/рік</t>
    </r>
  </si>
  <si>
    <t xml:space="preserve">Звітне значення: </t>
  </si>
  <si>
    <t>на МДж культури</t>
  </si>
  <si>
    <t>на гa</t>
  </si>
  <si>
    <t>Середнє</t>
  </si>
  <si>
    <r>
      <t>кг N</t>
    </r>
    <r>
      <rPr>
        <vertAlign val="subscript"/>
        <sz val="10"/>
        <rFont val="Arial"/>
        <family val="2"/>
        <charset val="204"/>
      </rPr>
      <t>2</t>
    </r>
    <r>
      <rPr>
        <sz val="10"/>
        <rFont val="Arial"/>
        <charset val="204"/>
      </rPr>
      <t>O/гa/рік</t>
    </r>
  </si>
  <si>
    <r>
      <t>кг N</t>
    </r>
    <r>
      <rPr>
        <vertAlign val="subscript"/>
        <sz val="10"/>
        <rFont val="Arial"/>
        <family val="2"/>
        <charset val="204"/>
      </rPr>
      <t>2</t>
    </r>
    <r>
      <rPr>
        <sz val="10"/>
        <rFont val="Arial"/>
        <charset val="204"/>
      </rPr>
      <t>O_N/гa/рік</t>
    </r>
  </si>
  <si>
    <r>
      <t>N</t>
    </r>
    <r>
      <rPr>
        <vertAlign val="subscript"/>
        <sz val="10"/>
        <rFont val="Arial"/>
        <family val="2"/>
        <charset val="204"/>
      </rPr>
      <t>2</t>
    </r>
    <r>
      <rPr>
        <sz val="10"/>
        <rFont val="Arial"/>
        <charset val="204"/>
      </rPr>
      <t>O(L)-N</t>
    </r>
  </si>
  <si>
    <r>
      <t>Викиди N</t>
    </r>
    <r>
      <rPr>
        <b/>
        <vertAlign val="subscript"/>
        <sz val="10"/>
        <rFont val="Arial"/>
        <family val="2"/>
        <charset val="204"/>
      </rPr>
      <t>2</t>
    </r>
    <r>
      <rPr>
        <b/>
        <sz val="10"/>
        <rFont val="Arial"/>
        <family val="2"/>
        <charset val="204"/>
      </rPr>
      <t xml:space="preserve">O від ефекту нітратного вилуговування: </t>
    </r>
  </si>
  <si>
    <r>
      <t>N</t>
    </r>
    <r>
      <rPr>
        <vertAlign val="subscript"/>
        <sz val="10"/>
        <rFont val="Arial"/>
        <family val="2"/>
        <charset val="204"/>
      </rPr>
      <t>2</t>
    </r>
    <r>
      <rPr>
        <sz val="10"/>
        <rFont val="Arial"/>
        <charset val="204"/>
      </rPr>
      <t>O(ATD)-N</t>
    </r>
  </si>
  <si>
    <r>
      <t>Викиди N</t>
    </r>
    <r>
      <rPr>
        <b/>
        <vertAlign val="subscript"/>
        <sz val="10"/>
        <rFont val="Arial"/>
        <family val="2"/>
        <charset val="204"/>
      </rPr>
      <t>2</t>
    </r>
    <r>
      <rPr>
        <b/>
        <sz val="10"/>
        <rFont val="Arial"/>
        <family val="2"/>
        <charset val="204"/>
      </rPr>
      <t>O від атмосферного осадження випаровуваного азоту:</t>
    </r>
  </si>
  <si>
    <t>Джерело: з МГЕЗК 2006</t>
  </si>
  <si>
    <r>
      <t>CS</t>
    </r>
    <r>
      <rPr>
        <vertAlign val="subscript"/>
        <sz val="10"/>
        <color indexed="8"/>
        <rFont val="Arial"/>
        <family val="2"/>
        <charset val="204"/>
      </rPr>
      <t>R</t>
    </r>
  </si>
  <si>
    <t>Визначення (взяті з Рішення комісії та / або Директиви)</t>
  </si>
  <si>
    <t>(Офіційний журнал Європейського союзу, 17.6.2010, L151/19), який далі згадується як "Рішення Комісії".</t>
  </si>
  <si>
    <r>
      <t>Цей аркуш розраховує вуглецеві запаси фактичного землекористування (CS</t>
    </r>
    <r>
      <rPr>
        <vertAlign val="subscript"/>
        <sz val="10"/>
        <color indexed="8"/>
        <rFont val="Arial"/>
        <family val="2"/>
        <charset val="204"/>
      </rPr>
      <t>A</t>
    </r>
    <r>
      <rPr>
        <sz val="10"/>
        <color indexed="8"/>
        <rFont val="Arial"/>
        <family val="2"/>
        <charset val="204"/>
      </rPr>
      <t>) і референтного землекористування (CS</t>
    </r>
    <r>
      <rPr>
        <vertAlign val="subscript"/>
        <sz val="10"/>
        <color indexed="8"/>
        <rFont val="Arial"/>
        <family val="2"/>
        <charset val="204"/>
      </rPr>
      <t>R</t>
    </r>
    <r>
      <rPr>
        <sz val="10"/>
        <color indexed="8"/>
        <rFont val="Arial"/>
        <family val="2"/>
        <charset val="204"/>
      </rPr>
      <t>)</t>
    </r>
  </si>
  <si>
    <t>Кіцевий накопичений вуглець у грунті</t>
  </si>
  <si>
    <t>При використанні даних з інших методів аніж вимірюваних:</t>
  </si>
  <si>
    <t>Приклад:</t>
  </si>
  <si>
    <t>Для того, щоб їх використовувати будь ласка надайте наступну інформацію:</t>
  </si>
  <si>
    <t>Середнього рівня</t>
  </si>
  <si>
    <t>Повний</t>
  </si>
  <si>
    <t>Не визначений</t>
  </si>
  <si>
    <t>Помірно-вологий</t>
  </si>
  <si>
    <t>Надайте дані про рік та початок впровадження покращень сільськогосподарських методів управління</t>
  </si>
  <si>
    <r>
      <t>SOC</t>
    </r>
    <r>
      <rPr>
        <vertAlign val="subscript"/>
        <sz val="10"/>
        <rFont val="Arial"/>
        <family val="2"/>
        <charset val="204"/>
      </rPr>
      <t>i</t>
    </r>
    <r>
      <rPr>
        <sz val="10"/>
        <rFont val="Arial"/>
        <charset val="204"/>
      </rPr>
      <t xml:space="preserve"> = SOC</t>
    </r>
    <r>
      <rPr>
        <vertAlign val="subscript"/>
        <sz val="10"/>
        <rFont val="Arial"/>
        <family val="2"/>
        <charset val="204"/>
      </rPr>
      <t>ST</t>
    </r>
    <r>
      <rPr>
        <sz val="10"/>
        <rFont val="Arial"/>
        <charset val="204"/>
      </rPr>
      <t xml:space="preserve"> * F</t>
    </r>
    <r>
      <rPr>
        <vertAlign val="subscript"/>
        <sz val="10"/>
        <rFont val="Arial"/>
        <family val="2"/>
        <charset val="204"/>
      </rPr>
      <t>LU</t>
    </r>
    <r>
      <rPr>
        <sz val="10"/>
        <rFont val="Arial"/>
        <charset val="204"/>
      </rPr>
      <t xml:space="preserve"> * F</t>
    </r>
    <r>
      <rPr>
        <vertAlign val="subscript"/>
        <sz val="10"/>
        <rFont val="Arial"/>
        <family val="2"/>
        <charset val="204"/>
      </rPr>
      <t>MG</t>
    </r>
    <r>
      <rPr>
        <sz val="10"/>
        <rFont val="Arial"/>
        <charset val="204"/>
      </rPr>
      <t xml:space="preserve"> * F</t>
    </r>
    <r>
      <rPr>
        <vertAlign val="subscript"/>
        <sz val="10"/>
        <rFont val="Arial"/>
        <family val="2"/>
        <charset val="204"/>
      </rPr>
      <t xml:space="preserve">I </t>
    </r>
  </si>
  <si>
    <r>
      <t>SOC</t>
    </r>
    <r>
      <rPr>
        <b/>
        <vertAlign val="subscript"/>
        <sz val="10"/>
        <rFont val="Arial"/>
        <family val="2"/>
        <charset val="204"/>
      </rPr>
      <t>A</t>
    </r>
    <r>
      <rPr>
        <b/>
        <sz val="10"/>
        <color indexed="8"/>
        <rFont val="Arial"/>
        <family val="2"/>
        <charset val="204"/>
      </rPr>
      <t xml:space="preserve"> та SOC</t>
    </r>
    <r>
      <rPr>
        <b/>
        <vertAlign val="subscript"/>
        <sz val="10"/>
        <rFont val="Arial"/>
        <family val="2"/>
        <charset val="204"/>
      </rPr>
      <t>R</t>
    </r>
    <r>
      <rPr>
        <b/>
        <sz val="10"/>
        <color indexed="8"/>
        <rFont val="Arial"/>
        <family val="2"/>
        <charset val="204"/>
      </rPr>
      <t xml:space="preserve"> визначаються у відповідності до наступного рівняння: </t>
    </r>
  </si>
  <si>
    <t>Коли відбулися зміни у землекористуванні?</t>
  </si>
  <si>
    <r>
      <t>CS</t>
    </r>
    <r>
      <rPr>
        <vertAlign val="subscript"/>
        <sz val="10"/>
        <rFont val="Arial"/>
        <family val="2"/>
        <charset val="204"/>
      </rPr>
      <t>i</t>
    </r>
    <r>
      <rPr>
        <sz val="10"/>
        <color indexed="8"/>
        <rFont val="Arial"/>
        <family val="2"/>
        <charset val="204"/>
      </rPr>
      <t xml:space="preserve"> = C</t>
    </r>
    <r>
      <rPr>
        <vertAlign val="subscript"/>
        <sz val="10"/>
        <rFont val="Arial"/>
        <family val="2"/>
        <charset val="204"/>
      </rPr>
      <t>VEG</t>
    </r>
    <r>
      <rPr>
        <sz val="10"/>
        <color indexed="8"/>
        <rFont val="Arial"/>
        <family val="2"/>
        <charset val="204"/>
      </rPr>
      <t xml:space="preserve"> + SOC</t>
    </r>
    <r>
      <rPr>
        <vertAlign val="subscript"/>
        <sz val="10"/>
        <rFont val="Arial"/>
        <family val="2"/>
        <charset val="204"/>
      </rPr>
      <t>ST</t>
    </r>
    <r>
      <rPr>
        <sz val="10"/>
        <color indexed="8"/>
        <rFont val="Arial"/>
        <family val="2"/>
        <charset val="204"/>
      </rPr>
      <t xml:space="preserve"> * F</t>
    </r>
    <r>
      <rPr>
        <vertAlign val="subscript"/>
        <sz val="10"/>
        <rFont val="Arial"/>
        <family val="2"/>
        <charset val="204"/>
      </rPr>
      <t>LU</t>
    </r>
    <r>
      <rPr>
        <sz val="10"/>
        <color indexed="8"/>
        <rFont val="Arial"/>
        <family val="2"/>
        <charset val="204"/>
      </rPr>
      <t xml:space="preserve"> * F</t>
    </r>
    <r>
      <rPr>
        <vertAlign val="subscript"/>
        <sz val="10"/>
        <rFont val="Arial"/>
        <family val="2"/>
        <charset val="204"/>
      </rPr>
      <t>MG</t>
    </r>
    <r>
      <rPr>
        <sz val="10"/>
        <color indexed="8"/>
        <rFont val="Arial"/>
        <family val="2"/>
        <charset val="204"/>
      </rPr>
      <t xml:space="preserve"> * F</t>
    </r>
    <r>
      <rPr>
        <vertAlign val="subscript"/>
        <sz val="10"/>
        <rFont val="Arial"/>
        <family val="2"/>
        <charset val="204"/>
      </rPr>
      <t>I</t>
    </r>
  </si>
  <si>
    <r>
      <t>CS</t>
    </r>
    <r>
      <rPr>
        <b/>
        <vertAlign val="subscript"/>
        <sz val="10"/>
        <rFont val="Arial"/>
        <family val="2"/>
        <charset val="204"/>
      </rPr>
      <t>A</t>
    </r>
    <r>
      <rPr>
        <b/>
        <sz val="10"/>
        <color indexed="8"/>
        <rFont val="Arial"/>
        <family val="2"/>
        <charset val="204"/>
      </rPr>
      <t xml:space="preserve"> та CS</t>
    </r>
    <r>
      <rPr>
        <b/>
        <vertAlign val="subscript"/>
        <sz val="10"/>
        <rFont val="Arial"/>
        <family val="2"/>
        <charset val="204"/>
      </rPr>
      <t>R</t>
    </r>
    <r>
      <rPr>
        <b/>
        <sz val="10"/>
        <color indexed="8"/>
        <rFont val="Arial"/>
        <family val="2"/>
        <charset val="204"/>
      </rPr>
      <t xml:space="preserve"> визначаються у відповідності до наступного рівняння: </t>
    </r>
  </si>
  <si>
    <t>1. Площа, яка розглядається є одним гектаром. Як наслідок фактор А (га/площу) дорівнює 1.</t>
  </si>
  <si>
    <r>
      <t>CS</t>
    </r>
    <r>
      <rPr>
        <vertAlign val="subscript"/>
        <sz val="10"/>
        <color indexed="8"/>
        <rFont val="Arial"/>
        <family val="2"/>
        <charset val="204"/>
      </rPr>
      <t>A</t>
    </r>
  </si>
  <si>
    <t>Кінцеві вуглецеві запаси</t>
  </si>
  <si>
    <t xml:space="preserve">Деталі джерел: </t>
  </si>
  <si>
    <t>Пошук в таблицях 2 - 8 з Рішення Комісії</t>
  </si>
  <si>
    <r>
      <t>Відомо,  C</t>
    </r>
    <r>
      <rPr>
        <vertAlign val="subscript"/>
        <sz val="10"/>
        <rFont val="Arial"/>
        <family val="2"/>
        <charset val="204"/>
      </rPr>
      <t>VEG</t>
    </r>
    <r>
      <rPr>
        <sz val="10"/>
        <rFont val="Arial"/>
        <charset val="204"/>
      </rPr>
      <t xml:space="preserve"> для фактичного землекористування</t>
    </r>
  </si>
  <si>
    <t>т С / гa</t>
  </si>
  <si>
    <r>
      <t>CF</t>
    </r>
    <r>
      <rPr>
        <vertAlign val="subscript"/>
        <sz val="10"/>
        <rFont val="Arial"/>
        <family val="2"/>
        <charset val="204"/>
      </rPr>
      <t>B</t>
    </r>
    <r>
      <rPr>
        <sz val="10"/>
        <rFont val="Arial"/>
        <charset val="204"/>
      </rPr>
      <t xml:space="preserve"> (or R)</t>
    </r>
  </si>
  <si>
    <r>
      <t>B</t>
    </r>
    <r>
      <rPr>
        <vertAlign val="subscript"/>
        <sz val="10"/>
        <rFont val="Arial"/>
        <family val="2"/>
        <charset val="204"/>
      </rPr>
      <t>BGB</t>
    </r>
    <r>
      <rPr>
        <sz val="10"/>
        <rFont val="Arial"/>
        <charset val="204"/>
      </rPr>
      <t xml:space="preserve"> (or C</t>
    </r>
    <r>
      <rPr>
        <vertAlign val="subscript"/>
        <sz val="10"/>
        <rFont val="Arial"/>
        <family val="2"/>
        <charset val="204"/>
      </rPr>
      <t>AGB</t>
    </r>
    <r>
      <rPr>
        <sz val="10"/>
        <rFont val="Arial"/>
        <charset val="204"/>
      </rPr>
      <t>)</t>
    </r>
  </si>
  <si>
    <t xml:space="preserve">Визначте за допомогою Таблиці 3 Рішення Комісії </t>
  </si>
  <si>
    <t>Немає добрив</t>
  </si>
  <si>
    <t>Добрива</t>
  </si>
  <si>
    <t>Відсутній</t>
  </si>
  <si>
    <t>Повна обробка</t>
  </si>
  <si>
    <t xml:space="preserve">Фактичне землекористування: </t>
  </si>
  <si>
    <t>Визначте за допомогою пункту 6.2 Рішення Комісії</t>
  </si>
  <si>
    <t>Визначте за допомогою пункту 6.1 Рішення Комісії</t>
  </si>
  <si>
    <t>Кліматичний регіон</t>
  </si>
  <si>
    <r>
      <t>Відомо,  C</t>
    </r>
    <r>
      <rPr>
        <vertAlign val="subscript"/>
        <sz val="10"/>
        <rFont val="Arial"/>
        <family val="2"/>
        <charset val="204"/>
      </rPr>
      <t>VEG</t>
    </r>
    <r>
      <rPr>
        <sz val="10"/>
        <rFont val="Arial"/>
        <charset val="204"/>
      </rPr>
      <t xml:space="preserve"> для референтного землекористування</t>
    </r>
  </si>
  <si>
    <t>т carbon / гa</t>
  </si>
  <si>
    <t xml:space="preserve">Дані, наведені в таблиці запропоновані  Рішенням Комісії </t>
  </si>
  <si>
    <t>Європа</t>
  </si>
  <si>
    <t>Континент (якщо є)</t>
  </si>
  <si>
    <r>
      <t>Два шляхи отримання C</t>
    </r>
    <r>
      <rPr>
        <vertAlign val="subscript"/>
        <sz val="10"/>
        <rFont val="Arial"/>
        <family val="2"/>
        <charset val="204"/>
      </rPr>
      <t>veg</t>
    </r>
    <r>
      <rPr>
        <sz val="10"/>
        <rFont val="Arial"/>
        <charset val="204"/>
      </rPr>
      <t xml:space="preserve"> : </t>
    </r>
  </si>
  <si>
    <t>Екологічна зона (якщо є)</t>
  </si>
  <si>
    <t xml:space="preserve">Референтне землекористування: </t>
  </si>
  <si>
    <t xml:space="preserve">Для більшого роз'яснення, будь ласка, читайте Рішення Комісії від 10 червня 2010 року, пункт 5. </t>
  </si>
  <si>
    <t>Ліс (&gt; 30% пологість)</t>
  </si>
  <si>
    <t>Культивовані / орні землі</t>
  </si>
  <si>
    <t>Вегетація - культура (землекористування)</t>
  </si>
  <si>
    <t>Теплий помірно-вологий</t>
  </si>
  <si>
    <t>Референтне землекористування</t>
  </si>
  <si>
    <t>Фактичне землекористування</t>
  </si>
  <si>
    <t>Вхідні дані</t>
  </si>
  <si>
    <r>
      <t>Викиди ПГ, такі як CO</t>
    </r>
    <r>
      <rPr>
        <vertAlign val="subscript"/>
        <sz val="10"/>
        <color indexed="8"/>
        <rFont val="Arial"/>
        <family val="2"/>
        <charset val="204"/>
      </rPr>
      <t>2</t>
    </r>
    <r>
      <rPr>
        <sz val="10"/>
        <color indexed="8"/>
        <rFont val="Arial"/>
        <family val="2"/>
        <charset val="204"/>
      </rPr>
      <t>, CH</t>
    </r>
    <r>
      <rPr>
        <vertAlign val="subscript"/>
        <sz val="10"/>
        <color indexed="8"/>
        <rFont val="Arial"/>
        <family val="2"/>
        <charset val="204"/>
      </rPr>
      <t>4</t>
    </r>
    <r>
      <rPr>
        <sz val="10"/>
        <color indexed="8"/>
        <rFont val="Arial"/>
        <family val="2"/>
        <charset val="204"/>
      </rPr>
      <t>, і N</t>
    </r>
    <r>
      <rPr>
        <vertAlign val="subscript"/>
        <sz val="10"/>
        <color indexed="8"/>
        <rFont val="Arial"/>
        <family val="2"/>
        <charset val="204"/>
      </rPr>
      <t>2</t>
    </r>
    <r>
      <rPr>
        <sz val="10"/>
        <color indexed="8"/>
        <rFont val="Arial"/>
        <family val="2"/>
        <charset val="204"/>
      </rPr>
      <t>O, що виражені у вигляді викидів СО</t>
    </r>
    <r>
      <rPr>
        <vertAlign val="subscript"/>
        <sz val="10"/>
        <color indexed="8"/>
        <rFont val="Arial"/>
        <family val="2"/>
        <charset val="204"/>
      </rPr>
      <t>2</t>
    </r>
    <r>
      <rPr>
        <sz val="10"/>
        <color indexed="8"/>
        <rFont val="Arial"/>
        <family val="2"/>
        <charset val="204"/>
      </rPr>
      <t>-еквіваленту з використанням потенціалів глобального потепління CH</t>
    </r>
    <r>
      <rPr>
        <vertAlign val="subscript"/>
        <sz val="10"/>
        <color indexed="8"/>
        <rFont val="Arial"/>
        <family val="2"/>
        <charset val="204"/>
      </rPr>
      <t>4</t>
    </r>
    <r>
      <rPr>
        <sz val="10"/>
        <color indexed="8"/>
        <rFont val="Arial"/>
        <family val="2"/>
        <charset val="204"/>
      </rPr>
      <t xml:space="preserve"> і N</t>
    </r>
    <r>
      <rPr>
        <vertAlign val="subscript"/>
        <sz val="10"/>
        <color indexed="8"/>
        <rFont val="Arial"/>
        <family val="2"/>
        <charset val="204"/>
      </rPr>
      <t>2</t>
    </r>
    <r>
      <rPr>
        <sz val="10"/>
        <color indexed="8"/>
        <rFont val="Arial"/>
        <family val="2"/>
        <charset val="204"/>
      </rPr>
      <t>O, як зазначено в аркуші "Стандартні значення".</t>
    </r>
  </si>
  <si>
    <t>Стиснений природний газ</t>
  </si>
  <si>
    <t>Скорочення та визначення</t>
  </si>
  <si>
    <t>Опис Excel-файлу</t>
  </si>
  <si>
    <r>
      <t>CS</t>
    </r>
    <r>
      <rPr>
        <vertAlign val="subscript"/>
        <sz val="10"/>
        <rFont val="Arial"/>
        <family val="2"/>
        <charset val="204"/>
      </rPr>
      <t>R</t>
    </r>
    <r>
      <rPr>
        <sz val="10"/>
        <rFont val="Arial"/>
        <charset val="204"/>
      </rPr>
      <t xml:space="preserve"> = </t>
    </r>
  </si>
  <si>
    <r>
      <t>CS</t>
    </r>
    <r>
      <rPr>
        <vertAlign val="subscript"/>
        <sz val="10"/>
        <rFont val="Arial"/>
        <family val="2"/>
        <charset val="204"/>
      </rPr>
      <t>A</t>
    </r>
    <r>
      <rPr>
        <sz val="10"/>
        <rFont val="Arial"/>
        <charset val="204"/>
      </rPr>
      <t xml:space="preserve"> = </t>
    </r>
  </si>
  <si>
    <t xml:space="preserve">Будь ласка заповніть дані Вашими фактичними значеннями </t>
  </si>
  <si>
    <r>
      <t>C</t>
    </r>
    <r>
      <rPr>
        <vertAlign val="subscript"/>
        <sz val="10"/>
        <rFont val="Arial"/>
        <family val="2"/>
        <charset val="204"/>
      </rPr>
      <t>veg-R</t>
    </r>
    <r>
      <rPr>
        <sz val="10"/>
        <rFont val="Arial"/>
        <charset val="204"/>
      </rPr>
      <t>=</t>
    </r>
  </si>
  <si>
    <r>
      <t>C</t>
    </r>
    <r>
      <rPr>
        <vertAlign val="subscript"/>
        <sz val="10"/>
        <rFont val="Arial"/>
        <family val="2"/>
        <charset val="204"/>
      </rPr>
      <t>veg-A</t>
    </r>
    <r>
      <rPr>
        <sz val="10"/>
        <rFont val="Arial"/>
        <charset val="204"/>
      </rPr>
      <t>=</t>
    </r>
  </si>
  <si>
    <t>Будь ласка заповніть дані Вашими фактичними значеннями</t>
  </si>
  <si>
    <r>
      <t>SOC</t>
    </r>
    <r>
      <rPr>
        <vertAlign val="subscript"/>
        <sz val="10"/>
        <rFont val="Arial"/>
        <family val="2"/>
        <charset val="204"/>
      </rPr>
      <t xml:space="preserve">R </t>
    </r>
    <r>
      <rPr>
        <sz val="10"/>
        <rFont val="Arial"/>
        <charset val="204"/>
      </rPr>
      <t xml:space="preserve">= </t>
    </r>
  </si>
  <si>
    <r>
      <t>SOC</t>
    </r>
    <r>
      <rPr>
        <vertAlign val="subscript"/>
        <sz val="10"/>
        <rFont val="Arial"/>
        <family val="2"/>
        <charset val="204"/>
      </rPr>
      <t xml:space="preserve">A </t>
    </r>
    <r>
      <rPr>
        <sz val="10"/>
        <rFont val="Arial"/>
        <charset val="204"/>
      </rPr>
      <t xml:space="preserve">= </t>
    </r>
  </si>
  <si>
    <t>Кінцеві вуглецеві запаси у грунті</t>
  </si>
  <si>
    <t>Землевпорядкування та добрив</t>
  </si>
  <si>
    <t>Рослинного покриву</t>
  </si>
  <si>
    <t>Типу грунту</t>
  </si>
  <si>
    <t>Клімату</t>
  </si>
  <si>
    <t xml:space="preserve">Будь ласка підтвердіть, що вони узяті з урахуванням: </t>
  </si>
  <si>
    <t>При використанні даних з інших методів, аніж вимірюваних:</t>
  </si>
  <si>
    <t>Для всього: відомості про репрезентативність, докази наукової обгрунтованості тощо.</t>
  </si>
  <si>
    <t>Якщо вимірювання: де вони були зроблені і ким, роки вимірювань.</t>
  </si>
  <si>
    <t>Якщо модель: назва запущенної моделі, основні джерела даних, дата моделювання тощо.</t>
  </si>
  <si>
    <t xml:space="preserve">Приклад :   </t>
  </si>
  <si>
    <t>Більш детальна інформація</t>
  </si>
  <si>
    <t>Тип використаних даних</t>
  </si>
  <si>
    <t>Для того, щоб їх використовувати будь ласка надайте наступну інформацію</t>
  </si>
  <si>
    <t>Результати виражені у вигляді "Значень за замовчуванням"</t>
  </si>
  <si>
    <r>
      <t>Зміна структури землекористування, поліпшення сільськогосподарського менеджменту, вловлювання і геологічне зберігання CO</t>
    </r>
    <r>
      <rPr>
        <b/>
        <vertAlign val="subscript"/>
        <sz val="10"/>
        <color indexed="8"/>
        <rFont val="Arial"/>
        <family val="2"/>
        <charset val="204"/>
      </rPr>
      <t>2</t>
    </r>
    <r>
      <rPr>
        <b/>
        <sz val="10"/>
        <color indexed="8"/>
        <rFont val="Arial"/>
        <family val="2"/>
        <charset val="204"/>
      </rPr>
      <t>, ґрунтові викиди N</t>
    </r>
    <r>
      <rPr>
        <b/>
        <vertAlign val="subscript"/>
        <sz val="10"/>
        <color indexed="8"/>
        <rFont val="Arial"/>
        <family val="2"/>
        <charset val="204"/>
      </rPr>
      <t>2</t>
    </r>
    <r>
      <rPr>
        <b/>
        <sz val="10"/>
        <color indexed="8"/>
        <rFont val="Arial"/>
        <family val="2"/>
        <charset val="204"/>
      </rPr>
      <t>O.</t>
    </r>
  </si>
  <si>
    <t>Керівництво користувача, опубліковане разом із цією версією Excel-файлу, допомагає зробити дані модифікації.</t>
  </si>
  <si>
    <t>Модифіковані або нові процеси виробництва біопалива</t>
  </si>
  <si>
    <r>
      <t xml:space="preserve">Використані </t>
    </r>
    <r>
      <rPr>
        <b/>
        <sz val="10"/>
        <color indexed="8"/>
        <rFont val="Arial"/>
        <family val="2"/>
        <charset val="204"/>
      </rPr>
      <t>стандартні</t>
    </r>
    <r>
      <rPr>
        <sz val="10"/>
        <color indexed="8"/>
        <rFont val="Arial"/>
        <family val="2"/>
        <charset val="204"/>
      </rPr>
      <t xml:space="preserve"> </t>
    </r>
    <r>
      <rPr>
        <b/>
        <sz val="10"/>
        <color indexed="8"/>
        <rFont val="Arial"/>
        <family val="2"/>
        <charset val="204"/>
      </rPr>
      <t>значення</t>
    </r>
    <r>
      <rPr>
        <sz val="10"/>
        <color indexed="8"/>
        <rFont val="Arial"/>
        <family val="2"/>
        <charset val="204"/>
      </rPr>
      <t xml:space="preserve"> наведені в аркуші «Стандартні значення» цього Excel-файлу. Цей аркуш є захищеним.</t>
    </r>
  </si>
  <si>
    <t xml:space="preserve">Використання даного Excel-файлу </t>
  </si>
  <si>
    <t>Стандартні значення</t>
  </si>
  <si>
    <t>Парова турбіна</t>
  </si>
  <si>
    <t>Чиста рослинна олія</t>
  </si>
  <si>
    <t>Природний газ</t>
  </si>
  <si>
    <t>Тверді побутові відходи</t>
  </si>
  <si>
    <t>Непослідовність використання потенціалу глобального потепління (ПГП)</t>
  </si>
  <si>
    <t>3. База даних E3 з LBST</t>
  </si>
  <si>
    <t>Джерела даних</t>
  </si>
  <si>
    <t>Вміст енергії (0,1056 тон)</t>
  </si>
  <si>
    <t>(очищений)</t>
  </si>
  <si>
    <t xml:space="preserve">Транспортування   </t>
  </si>
  <si>
    <t>Цліцерин (очищений)</t>
  </si>
  <si>
    <r>
      <t>MДж</t>
    </r>
    <r>
      <rPr>
        <vertAlign val="subscript"/>
        <sz val="10"/>
        <rFont val="Arial"/>
        <family val="2"/>
        <charset val="204"/>
      </rPr>
      <t>FAME</t>
    </r>
    <r>
      <rPr>
        <sz val="10"/>
        <rFont val="Arial"/>
        <charset val="204"/>
      </rPr>
      <t xml:space="preserve"> / MДж</t>
    </r>
    <r>
      <rPr>
        <vertAlign val="subscript"/>
        <sz val="10"/>
        <rFont val="Arial"/>
        <family val="2"/>
        <charset val="204"/>
      </rPr>
      <t>FAME</t>
    </r>
  </si>
  <si>
    <r>
      <t>MДж</t>
    </r>
    <r>
      <rPr>
        <vertAlign val="subscript"/>
        <sz val="10"/>
        <rFont val="Arial"/>
        <family val="2"/>
        <charset val="204"/>
      </rPr>
      <t>FAME</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</si>
  <si>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тон км / MДж</t>
    </r>
    <r>
      <rPr>
        <vertAlign val="subscript"/>
        <sz val="10"/>
        <rFont val="Arial"/>
        <family val="2"/>
        <charset val="204"/>
      </rPr>
      <t>Ріпаку, добрива</t>
    </r>
  </si>
  <si>
    <t>Викиди на MДж FAME</t>
  </si>
  <si>
    <t>Викиди на Дж FAME</t>
  </si>
  <si>
    <t>Викиди на Дж етанолу</t>
  </si>
  <si>
    <r>
      <t>MДж</t>
    </r>
    <r>
      <rPr>
        <vertAlign val="subscript"/>
        <sz val="10"/>
        <rFont val="Arial"/>
        <family val="2"/>
        <charset val="204"/>
      </rPr>
      <t>FAME</t>
    </r>
    <r>
      <rPr>
        <sz val="10"/>
        <rFont val="Arial"/>
        <charset val="204"/>
      </rPr>
      <t xml:space="preserve"> / MДж</t>
    </r>
    <r>
      <rPr>
        <vertAlign val="subscript"/>
        <sz val="10"/>
        <rFont val="Arial"/>
        <family val="2"/>
        <charset val="204"/>
      </rPr>
      <t>Ріпаку, добрива</t>
    </r>
  </si>
  <si>
    <t>Виключна відповідальність за зміст даного Excel-файлу покладається на авторів. Він не обов'язково відображає думку Європейського Союзу. Європейська комісія не несе відповідальності за будь-яке використання інформації, що міститься в цьому файлі.</t>
  </si>
  <si>
    <t>Розумна енергія для Європи (Intelligent Energy for Europe (IEE)</t>
  </si>
  <si>
    <t>Проект BioGrace, що надає даний Excel-файл</t>
  </si>
  <si>
    <t>Значення, вказане тут - 0 для варіанта А вище і 1 для варіанту Б вище.</t>
  </si>
  <si>
    <t>Вибір змінить значення числа, показаного тут:</t>
  </si>
  <si>
    <r>
      <t>Для того, щоб прийти до цих результатів, використовуються значення ПГП 25 для CH</t>
    </r>
    <r>
      <rPr>
        <vertAlign val="subscript"/>
        <sz val="10"/>
        <color indexed="8"/>
        <rFont val="Arial"/>
        <family val="2"/>
        <charset val="204"/>
      </rPr>
      <t>4</t>
    </r>
    <r>
      <rPr>
        <sz val="10"/>
        <color indexed="8"/>
        <rFont val="Arial"/>
        <family val="2"/>
        <charset val="204"/>
      </rPr>
      <t xml:space="preserve"> і 298 для N</t>
    </r>
    <r>
      <rPr>
        <vertAlign val="subscript"/>
        <sz val="10"/>
        <color indexed="8"/>
        <rFont val="Arial"/>
        <family val="2"/>
        <charset val="204"/>
      </rPr>
      <t>2</t>
    </r>
    <r>
      <rPr>
        <sz val="10"/>
        <color indexed="8"/>
        <rFont val="Arial"/>
        <family val="2"/>
        <charset val="204"/>
      </rPr>
      <t>O, а також неокруглені значення нижчої теплотворної здатності.</t>
    </r>
  </si>
  <si>
    <r>
      <t xml:space="preserve"> Ці дані включають значення ПГП 23 для CH</t>
    </r>
    <r>
      <rPr>
        <vertAlign val="subscript"/>
        <sz val="10"/>
        <color indexed="8"/>
        <rFont val="Arial"/>
        <family val="2"/>
        <charset val="204"/>
      </rPr>
      <t>4</t>
    </r>
    <r>
      <rPr>
        <sz val="10"/>
        <color indexed="8"/>
        <rFont val="Arial"/>
        <family val="2"/>
        <charset val="204"/>
      </rPr>
      <t xml:space="preserve"> і 296 для N</t>
    </r>
    <r>
      <rPr>
        <vertAlign val="subscript"/>
        <sz val="10"/>
        <color indexed="8"/>
        <rFont val="Arial"/>
        <family val="2"/>
        <charset val="204"/>
      </rPr>
      <t>2</t>
    </r>
    <r>
      <rPr>
        <sz val="10"/>
        <color indexed="8"/>
        <rFont val="Arial"/>
        <family val="2"/>
        <charset val="204"/>
      </rPr>
      <t>O плюс заокруглені значення нижчої теплотворної здатності.</t>
    </r>
  </si>
  <si>
    <r>
      <t>тон км / Mдж</t>
    </r>
    <r>
      <rPr>
        <vertAlign val="subscript"/>
        <sz val="10"/>
        <rFont val="Arial"/>
        <family val="2"/>
        <charset val="204"/>
      </rPr>
      <t>Кукурудзи, добрива</t>
    </r>
  </si>
  <si>
    <r>
      <t>MДж</t>
    </r>
    <r>
      <rPr>
        <vertAlign val="subscript"/>
        <sz val="10"/>
        <rFont val="Arial"/>
        <family val="2"/>
        <charset val="204"/>
      </rPr>
      <t>Eтанолу</t>
    </r>
    <r>
      <rPr>
        <sz val="10"/>
        <rFont val="Arial"/>
        <charset val="204"/>
      </rPr>
      <t>/ MДж</t>
    </r>
    <r>
      <rPr>
        <vertAlign val="subscript"/>
        <sz val="10"/>
        <rFont val="Arial"/>
        <family val="2"/>
        <charset val="204"/>
      </rPr>
      <t>Кукурудзи, добрива</t>
    </r>
  </si>
  <si>
    <r>
      <t>MДж</t>
    </r>
    <r>
      <rPr>
        <vertAlign val="subscript"/>
        <sz val="10"/>
        <rFont val="Arial"/>
        <family val="2"/>
        <charset val="204"/>
      </rPr>
      <t>Eтанолу</t>
    </r>
    <r>
      <rPr>
        <sz val="10"/>
        <rFont val="Arial"/>
        <charset val="204"/>
      </rPr>
      <t xml:space="preserve"> г</t>
    </r>
    <r>
      <rPr>
        <sz val="10"/>
        <rFont val="Arial"/>
        <charset val="204"/>
      </rPr>
      <t>a</t>
    </r>
    <r>
      <rPr>
        <vertAlign val="superscript"/>
        <sz val="10"/>
        <rFont val="Arial"/>
        <family val="2"/>
        <charset val="204"/>
      </rPr>
      <t>-1</t>
    </r>
    <r>
      <rPr>
        <sz val="10"/>
        <rFont val="Arial"/>
        <charset val="204"/>
      </rPr>
      <t xml:space="preserve"> рік</t>
    </r>
    <r>
      <rPr>
        <vertAlign val="superscript"/>
        <sz val="10"/>
        <rFont val="Arial"/>
        <family val="2"/>
        <charset val="204"/>
      </rPr>
      <t>-1</t>
    </r>
  </si>
  <si>
    <t>до FAME</t>
  </si>
  <si>
    <t>до очищеного гліцерину</t>
  </si>
  <si>
    <t>до ріпакової макухи</t>
  </si>
  <si>
    <t>Вирощування ріпаку</t>
  </si>
  <si>
    <r>
      <t>MДж</t>
    </r>
    <r>
      <rPr>
        <vertAlign val="subscript"/>
        <sz val="10"/>
        <rFont val="Arial"/>
        <family val="2"/>
        <charset val="204"/>
      </rPr>
      <t>Ріпаку</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</si>
  <si>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MДж / MДж</t>
    </r>
    <r>
      <rPr>
        <vertAlign val="subscript"/>
        <sz val="10"/>
        <rFont val="Arial"/>
        <family val="2"/>
        <charset val="204"/>
      </rPr>
      <t>Ріпаку, добрива</t>
    </r>
  </si>
  <si>
    <r>
      <t>кг</t>
    </r>
    <r>
      <rPr>
        <vertAlign val="subscript"/>
        <sz val="10"/>
        <rFont val="Arial"/>
        <family val="2"/>
        <charset val="204"/>
      </rPr>
      <t>Ріпаку</t>
    </r>
    <r>
      <rPr>
        <sz val="10"/>
        <rFont val="Arial"/>
        <charset val="204"/>
      </rPr>
      <t>/MДж</t>
    </r>
    <r>
      <rPr>
        <vertAlign val="subscript"/>
        <sz val="10"/>
        <rFont val="Arial"/>
        <family val="2"/>
        <charset val="204"/>
      </rPr>
      <t>Етанолу</t>
    </r>
  </si>
  <si>
    <t>Ріпак</t>
  </si>
  <si>
    <t>Посівний матеріал</t>
  </si>
  <si>
    <t>Насіння ріпаку</t>
  </si>
  <si>
    <t>на кг ріпаку</t>
  </si>
  <si>
    <t>Сушка ріпаку</t>
  </si>
  <si>
    <r>
      <t>MJ / MДж</t>
    </r>
    <r>
      <rPr>
        <vertAlign val="subscript"/>
        <sz val="10"/>
        <rFont val="Arial"/>
        <family val="2"/>
        <charset val="204"/>
      </rPr>
      <t>Ріпаку, добрива</t>
    </r>
  </si>
  <si>
    <t>Викиди на МДж FAME</t>
  </si>
  <si>
    <r>
      <t>MДж</t>
    </r>
    <r>
      <rPr>
        <vertAlign val="subscript"/>
        <sz val="10"/>
        <rFont val="Arial"/>
        <family val="2"/>
        <charset val="204"/>
      </rPr>
      <t>Ріпаку</t>
    </r>
    <r>
      <rPr>
        <sz val="10"/>
        <rFont val="Arial"/>
        <charset val="204"/>
      </rPr>
      <t xml:space="preserve"> / MДж</t>
    </r>
    <r>
      <rPr>
        <vertAlign val="subscript"/>
        <sz val="10"/>
        <rFont val="Arial"/>
        <family val="2"/>
        <charset val="204"/>
      </rPr>
      <t>Ріпаку</t>
    </r>
  </si>
  <si>
    <r>
      <t>MДж / MДж</t>
    </r>
    <r>
      <rPr>
        <vertAlign val="subscript"/>
        <sz val="10"/>
        <rFont val="Arial"/>
        <family val="2"/>
        <charset val="204"/>
      </rPr>
      <t>Ріпаку</t>
    </r>
  </si>
  <si>
    <t>Транспортування ріпаку</t>
  </si>
  <si>
    <r>
      <t>MДж</t>
    </r>
    <r>
      <rPr>
        <vertAlign val="subscript"/>
        <sz val="10"/>
        <rFont val="Arial"/>
        <family val="2"/>
        <charset val="204"/>
      </rPr>
      <t>Ріпаку</t>
    </r>
    <r>
      <rPr>
        <sz val="10"/>
        <rFont val="Arial"/>
        <charset val="204"/>
      </rPr>
      <t>/ MДж</t>
    </r>
    <r>
      <rPr>
        <vertAlign val="subscript"/>
        <sz val="10"/>
        <rFont val="Arial"/>
        <family val="2"/>
        <charset val="204"/>
      </rPr>
      <t>Ріпаку</t>
    </r>
  </si>
  <si>
    <r>
      <t>г CO</t>
    </r>
    <r>
      <rPr>
        <b/>
        <vertAlign val="subscript"/>
        <sz val="10"/>
        <color indexed="9"/>
        <rFont val="Arial"/>
        <family val="2"/>
        <charset val="204"/>
      </rPr>
      <t>2,екв</t>
    </r>
    <r>
      <rPr>
        <b/>
        <sz val="10"/>
        <color indexed="9"/>
        <rFont val="Arial"/>
        <family val="2"/>
        <charset val="204"/>
      </rPr>
      <t xml:space="preserve"> / MДж</t>
    </r>
    <r>
      <rPr>
        <b/>
        <vertAlign val="subscript"/>
        <sz val="10"/>
        <color indexed="9"/>
        <rFont val="Arial"/>
        <family val="2"/>
        <charset val="204"/>
      </rPr>
      <t>FAME</t>
    </r>
  </si>
  <si>
    <r>
      <t>тон км / MДж</t>
    </r>
    <r>
      <rPr>
        <vertAlign val="subscript"/>
        <sz val="10"/>
        <rFont val="Arial"/>
        <family val="2"/>
        <charset val="204"/>
      </rPr>
      <t>Ріпаку,  добрива</t>
    </r>
  </si>
  <si>
    <r>
      <t>MДж</t>
    </r>
    <r>
      <rPr>
        <vertAlign val="subscript"/>
        <sz val="10"/>
        <rFont val="Arial"/>
        <family val="2"/>
        <charset val="204"/>
      </rPr>
      <t xml:space="preserve">Ріпаку </t>
    </r>
    <r>
      <rPr>
        <sz val="10"/>
        <rFont val="Arial"/>
        <charset val="204"/>
      </rPr>
      <t>гa</t>
    </r>
    <r>
      <rPr>
        <vertAlign val="superscript"/>
        <sz val="10"/>
        <rFont val="Arial"/>
        <family val="2"/>
        <charset val="204"/>
      </rPr>
      <t>-1</t>
    </r>
    <r>
      <rPr>
        <sz val="10"/>
        <rFont val="Arial"/>
        <charset val="204"/>
      </rPr>
      <t xml:space="preserve"> рік</t>
    </r>
    <r>
      <rPr>
        <vertAlign val="superscript"/>
        <sz val="10"/>
        <rFont val="Arial"/>
        <family val="2"/>
        <charset val="204"/>
      </rPr>
      <t>-1</t>
    </r>
  </si>
  <si>
    <t>Видобуток олії</t>
  </si>
  <si>
    <t>Сира рослинна олія</t>
  </si>
  <si>
    <t>до ріпакової олії</t>
  </si>
  <si>
    <t>Пара (від котлу (ПГ))</t>
  </si>
  <si>
    <t>Котел (ПГ)</t>
  </si>
  <si>
    <r>
      <t>Викиди CH</t>
    </r>
    <r>
      <rPr>
        <vertAlign val="subscript"/>
        <sz val="10"/>
        <rFont val="Arial"/>
        <family val="2"/>
        <charset val="204"/>
      </rPr>
      <t>4</t>
    </r>
    <r>
      <rPr>
        <sz val="10"/>
        <rFont val="Arial"/>
        <charset val="204"/>
      </rPr>
      <t xml:space="preserve"> та N</t>
    </r>
    <r>
      <rPr>
        <vertAlign val="subscript"/>
        <sz val="10"/>
        <rFont val="Arial"/>
        <family val="2"/>
        <charset val="204"/>
      </rPr>
      <t>2</t>
    </r>
    <r>
      <rPr>
        <sz val="10"/>
        <rFont val="Arial"/>
        <charset val="204"/>
      </rPr>
      <t>O від Котлу (ПГ)</t>
    </r>
  </si>
  <si>
    <t>Хімікати</t>
  </si>
  <si>
    <t>н-гексан</t>
  </si>
  <si>
    <r>
      <t>Mдж</t>
    </r>
    <r>
      <rPr>
        <vertAlign val="subscript"/>
        <sz val="10"/>
        <rFont val="Arial"/>
        <family val="2"/>
        <charset val="204"/>
      </rPr>
      <t>Олії</t>
    </r>
    <r>
      <rPr>
        <sz val="10"/>
        <rFont val="Arial"/>
        <charset val="204"/>
      </rPr>
      <t>/ Mджріпаку</t>
    </r>
  </si>
  <si>
    <r>
      <t>MДж</t>
    </r>
    <r>
      <rPr>
        <vertAlign val="subscript"/>
        <sz val="10"/>
        <rFont val="Arial"/>
        <family val="2"/>
        <charset val="204"/>
      </rPr>
      <t>Ріпакової макухи</t>
    </r>
    <r>
      <rPr>
        <sz val="10"/>
        <rFont val="Arial"/>
        <charset val="204"/>
      </rPr>
      <t>/ MДж</t>
    </r>
    <r>
      <rPr>
        <vertAlign val="subscript"/>
        <sz val="10"/>
        <rFont val="Arial"/>
        <family val="2"/>
        <charset val="204"/>
      </rPr>
      <t>Ріпаку</t>
    </r>
  </si>
  <si>
    <r>
      <t>MДж / MДж</t>
    </r>
    <r>
      <rPr>
        <vertAlign val="subscript"/>
        <sz val="10"/>
        <rFont val="Arial"/>
        <family val="2"/>
        <charset val="204"/>
      </rPr>
      <t>Олії</t>
    </r>
  </si>
  <si>
    <r>
      <t>MДж / MДж</t>
    </r>
    <r>
      <rPr>
        <b/>
        <vertAlign val="subscript"/>
        <sz val="10"/>
        <rFont val="Arial"/>
        <family val="2"/>
        <charset val="204"/>
      </rPr>
      <t>Пари</t>
    </r>
  </si>
  <si>
    <r>
      <t>MДж</t>
    </r>
    <r>
      <rPr>
        <vertAlign val="subscript"/>
        <sz val="10"/>
        <rFont val="Arial"/>
        <family val="2"/>
        <charset val="204"/>
      </rPr>
      <t>Олії</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</si>
  <si>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t>
    </r>
    <r>
      <rPr>
        <vertAlign val="subscript"/>
        <sz val="10"/>
        <rFont val="Arial"/>
        <family val="2"/>
        <charset val="204"/>
      </rPr>
      <t xml:space="preserve">Олії </t>
    </r>
    <r>
      <rPr>
        <sz val="10"/>
        <rFont val="Arial"/>
        <charset val="204"/>
      </rPr>
      <t>/ MДж</t>
    </r>
    <r>
      <rPr>
        <vertAlign val="subscript"/>
        <sz val="10"/>
        <rFont val="Arial"/>
        <family val="2"/>
        <charset val="204"/>
      </rPr>
      <t>FAME</t>
    </r>
  </si>
  <si>
    <t>на кг оілї</t>
  </si>
  <si>
    <t>Викиди від котлу (ПГ)</t>
  </si>
  <si>
    <r>
      <t>г CO</t>
    </r>
    <r>
      <rPr>
        <vertAlign val="subscript"/>
        <sz val="10"/>
        <rFont val="Arial"/>
        <family val="2"/>
        <charset val="204"/>
      </rPr>
      <t>2,екв</t>
    </r>
    <r>
      <rPr>
        <sz val="10"/>
        <rFont val="Arial"/>
        <charset val="204"/>
      </rPr>
      <t xml:space="preserve"> / MДж</t>
    </r>
    <r>
      <rPr>
        <vertAlign val="subscript"/>
        <sz val="10"/>
        <rFont val="Arial"/>
        <family val="2"/>
        <charset val="204"/>
      </rPr>
      <t>FAME</t>
    </r>
  </si>
  <si>
    <t>Ріпакова олія</t>
  </si>
  <si>
    <t>Ріпакова макуха</t>
  </si>
  <si>
    <t>Викиди до та під час цього етапу:</t>
  </si>
  <si>
    <t xml:space="preserve">Викиди до та під час цього етапу: </t>
  </si>
  <si>
    <t>Суміжний продукт вмісту енергії</t>
  </si>
  <si>
    <t>Вміст енергії (базується на 1 MДж)</t>
  </si>
  <si>
    <t>Переробка рослинної олії</t>
  </si>
  <si>
    <t xml:space="preserve">Пара (від котлу (ПГ) </t>
  </si>
  <si>
    <r>
      <t>Викиди CH</t>
    </r>
    <r>
      <rPr>
        <vertAlign val="subscript"/>
        <sz val="10"/>
        <rFont val="Arial"/>
        <family val="2"/>
        <charset val="204"/>
      </rPr>
      <t>4</t>
    </r>
    <r>
      <rPr>
        <sz val="10"/>
        <rFont val="Arial"/>
        <charset val="204"/>
      </rPr>
      <t xml:space="preserve"> та N</t>
    </r>
    <r>
      <rPr>
        <vertAlign val="subscript"/>
        <sz val="10"/>
        <rFont val="Arial"/>
        <family val="2"/>
        <charset val="204"/>
      </rPr>
      <t>2</t>
    </r>
    <r>
      <rPr>
        <sz val="10"/>
        <rFont val="Arial"/>
        <charset val="204"/>
      </rPr>
      <t>O від котлу (ПГ)</t>
    </r>
  </si>
  <si>
    <r>
      <t>MДж</t>
    </r>
    <r>
      <rPr>
        <vertAlign val="subscript"/>
        <sz val="10"/>
        <rFont val="Arial"/>
        <family val="2"/>
        <charset val="204"/>
      </rPr>
      <t xml:space="preserve">Олії </t>
    </r>
    <r>
      <rPr>
        <sz val="10"/>
        <rFont val="Arial"/>
        <charset val="204"/>
      </rPr>
      <t>/ MДж</t>
    </r>
    <r>
      <rPr>
        <vertAlign val="subscript"/>
        <sz val="10"/>
        <rFont val="Arial"/>
        <family val="2"/>
        <charset val="204"/>
      </rPr>
      <t>Oлії</t>
    </r>
  </si>
  <si>
    <r>
      <t>MДж / MДж</t>
    </r>
    <r>
      <rPr>
        <vertAlign val="subscript"/>
        <sz val="10"/>
        <rFont val="Arial"/>
        <family val="2"/>
        <charset val="204"/>
      </rPr>
      <t>Oлії</t>
    </r>
  </si>
  <si>
    <r>
      <t>кг / MДж</t>
    </r>
    <r>
      <rPr>
        <vertAlign val="subscript"/>
        <sz val="10"/>
        <rFont val="Arial"/>
        <family val="2"/>
        <charset val="204"/>
      </rPr>
      <t>Oлії</t>
    </r>
  </si>
  <si>
    <t>на кг рафінованої олії</t>
  </si>
  <si>
    <t>на кг FAME</t>
  </si>
  <si>
    <t>Складні метилові ефіри жирних кислот</t>
  </si>
  <si>
    <t xml:space="preserve">Фосфорна кислота </t>
  </si>
  <si>
    <t>Соляна кислота</t>
  </si>
  <si>
    <t>Карбонат натрію</t>
  </si>
  <si>
    <t>Гідроксид натрію</t>
  </si>
  <si>
    <t>Метанол</t>
  </si>
  <si>
    <r>
      <t>MДж</t>
    </r>
    <r>
      <rPr>
        <vertAlign val="subscript"/>
        <sz val="10"/>
        <rFont val="Arial"/>
        <family val="2"/>
        <charset val="204"/>
      </rPr>
      <t>FAME</t>
    </r>
    <r>
      <rPr>
        <sz val="10"/>
        <rFont val="Arial"/>
        <charset val="204"/>
      </rPr>
      <t xml:space="preserve"> / MДж</t>
    </r>
    <r>
      <rPr>
        <vertAlign val="subscript"/>
        <sz val="10"/>
        <rFont val="Arial"/>
        <family val="2"/>
        <charset val="204"/>
      </rPr>
      <t>Oлії</t>
    </r>
  </si>
  <si>
    <t>кг / тог FAME</t>
  </si>
  <si>
    <r>
      <t>MДж / MДж</t>
    </r>
    <r>
      <rPr>
        <vertAlign val="subscript"/>
        <sz val="10"/>
        <rFont val="Arial"/>
        <family val="2"/>
        <charset val="204"/>
      </rPr>
      <t>FAME</t>
    </r>
  </si>
  <si>
    <r>
      <t>кг / MДж</t>
    </r>
    <r>
      <rPr>
        <vertAlign val="subscript"/>
        <sz val="10"/>
        <rFont val="Arial"/>
        <family val="2"/>
        <charset val="204"/>
      </rPr>
      <t>FAME</t>
    </r>
  </si>
  <si>
    <r>
      <t>г CO</t>
    </r>
    <r>
      <rPr>
        <b/>
        <vertAlign val="subscript"/>
        <sz val="10"/>
        <color indexed="9"/>
        <rFont val="Arial"/>
        <family val="2"/>
        <charset val="204"/>
      </rPr>
      <t xml:space="preserve">2,екв </t>
    </r>
    <r>
      <rPr>
        <b/>
        <sz val="10"/>
        <color indexed="9"/>
        <rFont val="Arial"/>
        <family val="2"/>
        <charset val="204"/>
      </rPr>
      <t>/ MДж</t>
    </r>
    <r>
      <rPr>
        <b/>
        <vertAlign val="subscript"/>
        <sz val="10"/>
        <color indexed="9"/>
        <rFont val="Arial"/>
        <family val="2"/>
        <charset val="204"/>
      </rPr>
      <t>FAME</t>
    </r>
  </si>
  <si>
    <t>Вміст енергії (1 тон)</t>
  </si>
  <si>
    <r>
      <t>г CO</t>
    </r>
    <r>
      <rPr>
        <b/>
        <vertAlign val="subscript"/>
        <sz val="10"/>
        <color indexed="9"/>
        <rFont val="Arial"/>
        <family val="2"/>
        <charset val="204"/>
      </rPr>
      <t>2,екв</t>
    </r>
    <r>
      <rPr>
        <b/>
        <sz val="10"/>
        <color indexed="9"/>
        <rFont val="Arial"/>
        <family val="2"/>
        <charset val="204"/>
      </rPr>
      <t>/ MДж</t>
    </r>
    <r>
      <rPr>
        <b/>
        <vertAlign val="subscript"/>
        <sz val="10"/>
        <color indexed="9"/>
        <rFont val="Arial"/>
        <family val="2"/>
        <charset val="204"/>
      </rPr>
      <t>Eтанолу</t>
    </r>
  </si>
  <si>
    <r>
      <t>тон км / MДж</t>
    </r>
    <r>
      <rPr>
        <vertAlign val="subscript"/>
        <sz val="10"/>
        <rFont val="Arial"/>
        <family val="2"/>
        <charset val="204"/>
      </rPr>
      <t>Пшениці,  добрива</t>
    </r>
  </si>
  <si>
    <t xml:space="preserve">Електроенергія (узята з ТЕЦ) </t>
  </si>
  <si>
    <t>Пара (від ТЕЦ (буре вугілля))</t>
  </si>
  <si>
    <t>ТЕЦ (буре вугілля)</t>
  </si>
  <si>
    <r>
      <t>Викиди CH</t>
    </r>
    <r>
      <rPr>
        <vertAlign val="subscript"/>
        <sz val="10"/>
        <rFont val="Arial"/>
        <family val="2"/>
        <charset val="204"/>
      </rPr>
      <t>4</t>
    </r>
    <r>
      <rPr>
        <sz val="10"/>
        <rFont val="Arial"/>
        <charset val="204"/>
      </rPr>
      <t xml:space="preserve"> та N</t>
    </r>
    <r>
      <rPr>
        <vertAlign val="subscript"/>
        <sz val="10"/>
        <rFont val="Arial"/>
        <family val="2"/>
        <charset val="204"/>
      </rPr>
      <t>2</t>
    </r>
    <r>
      <rPr>
        <sz val="10"/>
        <rFont val="Arial"/>
        <charset val="204"/>
      </rPr>
      <t>O від ТЕЦ (буре вугілля)</t>
    </r>
  </si>
  <si>
    <t>Споживання бурого вугілля на МДж пари</t>
  </si>
  <si>
    <t>Буре вугілля</t>
  </si>
  <si>
    <t>Виробництво е/е / MДж пари</t>
  </si>
  <si>
    <t xml:space="preserve">Виробництво е/е             </t>
  </si>
  <si>
    <r>
      <t>MДж</t>
    </r>
    <r>
      <rPr>
        <vertAlign val="subscript"/>
        <sz val="10"/>
        <rFont val="Arial"/>
        <family val="2"/>
        <charset val="204"/>
      </rPr>
      <t>Eтанолу</t>
    </r>
    <r>
      <rPr>
        <sz val="10"/>
        <rFont val="Arial"/>
        <charset val="204"/>
      </rPr>
      <t>/ MДж</t>
    </r>
    <r>
      <rPr>
        <vertAlign val="subscript"/>
        <sz val="10"/>
        <rFont val="Arial"/>
        <family val="2"/>
        <charset val="204"/>
      </rPr>
      <t>Пшениці</t>
    </r>
  </si>
  <si>
    <r>
      <t>тон</t>
    </r>
    <r>
      <rPr>
        <vertAlign val="subscript"/>
        <sz val="10"/>
        <rFont val="Arial"/>
        <family val="2"/>
        <charset val="204"/>
      </rPr>
      <t>СПСБ</t>
    </r>
    <r>
      <rPr>
        <sz val="10"/>
        <rFont val="Arial"/>
        <charset val="204"/>
      </rPr>
      <t xml:space="preserve"> / тон</t>
    </r>
    <r>
      <rPr>
        <vertAlign val="subscript"/>
        <sz val="10"/>
        <rFont val="Arial"/>
        <family val="2"/>
        <charset val="204"/>
      </rPr>
      <t>Eтанолу</t>
    </r>
  </si>
  <si>
    <t>Викиди від ТЕЦ (буре вугілля)</t>
  </si>
  <si>
    <t>Виробік парової установки не бере до рахунку власне споживання.</t>
  </si>
  <si>
    <t>Немає викидів, розрахованих відносно е/е, що узята з парової установки.</t>
  </si>
  <si>
    <r>
      <t>MДж/ MДж</t>
    </r>
    <r>
      <rPr>
        <vertAlign val="subscript"/>
        <sz val="10"/>
        <rFont val="Arial"/>
        <family val="2"/>
        <charset val="204"/>
      </rPr>
      <t>Eтанолу</t>
    </r>
  </si>
  <si>
    <t>MДж / Mджпари</t>
  </si>
  <si>
    <r>
      <t>MДж / MДж</t>
    </r>
    <r>
      <rPr>
        <b/>
        <vertAlign val="subscript"/>
        <sz val="10"/>
        <rFont val="Arial"/>
        <family val="2"/>
        <charset val="204"/>
      </rPr>
      <t>пари</t>
    </r>
  </si>
  <si>
    <t>Е/е (буре вугілля)</t>
  </si>
  <si>
    <t>1 тон</t>
  </si>
  <si>
    <t>1,14 тон</t>
  </si>
  <si>
    <t>Суха післяспиртова барда (10% вологомісткість)</t>
  </si>
  <si>
    <r>
      <t>г CO</t>
    </r>
    <r>
      <rPr>
        <vertAlign val="subscript"/>
        <sz val="10"/>
        <rFont val="Arial"/>
        <family val="2"/>
        <charset val="204"/>
      </rPr>
      <t>2,екв</t>
    </r>
    <r>
      <rPr>
        <sz val="10"/>
        <rFont val="Arial"/>
        <charset val="204"/>
      </rPr>
      <t>/ MДж</t>
    </r>
    <r>
      <rPr>
        <vertAlign val="subscript"/>
        <sz val="10"/>
        <rFont val="Arial"/>
        <family val="2"/>
        <charset val="204"/>
      </rPr>
      <t>eтанолу</t>
    </r>
  </si>
  <si>
    <r>
      <t>г CO</t>
    </r>
    <r>
      <rPr>
        <vertAlign val="subscript"/>
        <sz val="10"/>
        <rFont val="Arial"/>
        <family val="2"/>
        <charset val="204"/>
      </rPr>
      <t>2,eкв</t>
    </r>
    <r>
      <rPr>
        <sz val="10"/>
        <rFont val="Arial"/>
        <charset val="204"/>
      </rPr>
      <t xml:space="preserve"> / MДж</t>
    </r>
    <r>
      <rPr>
        <vertAlign val="subscript"/>
        <sz val="10"/>
        <rFont val="Arial"/>
        <family val="2"/>
        <charset val="204"/>
      </rPr>
      <t>етанолу</t>
    </r>
  </si>
  <si>
    <r>
      <t>MДж</t>
    </r>
    <r>
      <rPr>
        <vertAlign val="subscript"/>
        <sz val="10"/>
        <rFont val="Arial"/>
        <family val="2"/>
        <charset val="204"/>
      </rPr>
      <t xml:space="preserve">Eтанолу </t>
    </r>
    <r>
      <rPr>
        <sz val="10"/>
        <rFont val="Arial"/>
        <charset val="204"/>
      </rPr>
      <t>г</t>
    </r>
    <r>
      <rPr>
        <sz val="10"/>
        <rFont val="Arial"/>
        <charset val="204"/>
      </rPr>
      <t>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</si>
  <si>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t>
    </r>
    <r>
      <rPr>
        <vertAlign val="subscript"/>
        <sz val="10"/>
        <rFont val="Arial"/>
        <family val="2"/>
        <charset val="204"/>
      </rPr>
      <t>Етанолу/</t>
    </r>
    <r>
      <rPr>
        <sz val="10"/>
        <rFont val="Arial"/>
        <charset val="204"/>
      </rPr>
      <t>MДж</t>
    </r>
    <r>
      <rPr>
        <vertAlign val="subscript"/>
        <sz val="10"/>
        <rFont val="Arial"/>
        <family val="2"/>
        <charset val="204"/>
      </rPr>
      <t>Eтанолу</t>
    </r>
  </si>
  <si>
    <r>
      <t>MДж</t>
    </r>
    <r>
      <rPr>
        <vertAlign val="subscript"/>
        <sz val="10"/>
        <rFont val="Arial"/>
        <family val="2"/>
        <charset val="204"/>
      </rPr>
      <t>Eтанолу</t>
    </r>
    <r>
      <rPr>
        <sz val="10"/>
        <rFont val="Arial"/>
        <charset val="204"/>
      </rPr>
      <t>/ MДж</t>
    </r>
    <r>
      <rPr>
        <vertAlign val="subscript"/>
        <sz val="10"/>
        <rFont val="Arial"/>
        <family val="2"/>
        <charset val="204"/>
      </rPr>
      <t>Eтанолу</t>
    </r>
  </si>
  <si>
    <r>
      <t>MДж</t>
    </r>
    <r>
      <rPr>
        <vertAlign val="subscript"/>
        <sz val="10"/>
        <rFont val="Arial"/>
        <family val="2"/>
        <charset val="204"/>
      </rPr>
      <t xml:space="preserve">Eтанолу </t>
    </r>
    <r>
      <rPr>
        <sz val="10"/>
        <rFont val="Arial"/>
        <charset val="204"/>
      </rPr>
      <t>гa</t>
    </r>
    <r>
      <rPr>
        <vertAlign val="superscript"/>
        <sz val="10"/>
        <rFont val="Arial"/>
        <family val="2"/>
        <charset val="204"/>
      </rPr>
      <t>-1</t>
    </r>
    <r>
      <rPr>
        <sz val="10"/>
        <rFont val="Arial"/>
        <charset val="204"/>
      </rPr>
      <t xml:space="preserve"> рік</t>
    </r>
    <r>
      <rPr>
        <vertAlign val="superscript"/>
        <sz val="10"/>
        <rFont val="Arial"/>
        <family val="2"/>
        <charset val="204"/>
      </rPr>
      <t>-1</t>
    </r>
  </si>
  <si>
    <r>
      <t>тон км / Mдж</t>
    </r>
    <r>
      <rPr>
        <vertAlign val="subscript"/>
        <sz val="10"/>
        <rFont val="Arial"/>
        <family val="2"/>
        <charset val="204"/>
      </rPr>
      <t>пшениці, добрива</t>
    </r>
  </si>
  <si>
    <r>
      <t>MДж</t>
    </r>
    <r>
      <rPr>
        <vertAlign val="subscript"/>
        <sz val="10"/>
        <rFont val="Arial"/>
        <family val="2"/>
        <charset val="204"/>
      </rPr>
      <t>Eтанолу</t>
    </r>
    <r>
      <rPr>
        <sz val="10"/>
        <rFont val="Arial"/>
        <charset val="204"/>
      </rPr>
      <t xml:space="preserve"> / MДж</t>
    </r>
    <r>
      <rPr>
        <vertAlign val="subscript"/>
        <sz val="10"/>
        <rFont val="Arial"/>
        <family val="2"/>
        <charset val="204"/>
      </rPr>
      <t>Eтанолу</t>
    </r>
  </si>
  <si>
    <t>Чи відбувається зміна землекористування?</t>
  </si>
  <si>
    <t xml:space="preserve">Чи відбувається зміна землекористування? </t>
  </si>
  <si>
    <t xml:space="preserve">Кінцева зміна землекористування  </t>
  </si>
  <si>
    <r>
      <t>г CO</t>
    </r>
    <r>
      <rPr>
        <vertAlign val="subscript"/>
        <sz val="10"/>
        <rFont val="Arial"/>
        <family val="2"/>
        <charset val="204"/>
      </rPr>
      <t>2,екв</t>
    </r>
    <r>
      <rPr>
        <sz val="10"/>
        <rFont val="Arial"/>
        <charset val="204"/>
      </rPr>
      <t xml:space="preserve"> / MДж</t>
    </r>
    <r>
      <rPr>
        <vertAlign val="subscript"/>
        <sz val="10"/>
        <rFont val="Arial"/>
        <family val="2"/>
        <charset val="204"/>
      </rPr>
      <t>Eтанолу</t>
    </r>
  </si>
  <si>
    <r>
      <t>г CO</t>
    </r>
    <r>
      <rPr>
        <vertAlign val="subscript"/>
        <sz val="10"/>
        <rFont val="Arial"/>
        <family val="2"/>
        <charset val="204"/>
      </rPr>
      <t>2екв</t>
    </r>
    <r>
      <rPr>
        <sz val="10"/>
        <rFont val="Arial"/>
        <charset val="204"/>
      </rPr>
      <t xml:space="preserve"> / MДж</t>
    </r>
    <r>
      <rPr>
        <vertAlign val="subscript"/>
        <sz val="10"/>
        <rFont val="Arial"/>
        <family val="2"/>
        <charset val="204"/>
      </rPr>
      <t>Eтанолу</t>
    </r>
  </si>
  <si>
    <t>Вирощування кукурудзи</t>
  </si>
  <si>
    <t>Кукурудза</t>
  </si>
  <si>
    <t>N-добриво (кг N)</t>
  </si>
  <si>
    <t>Насіння кукурудзи</t>
  </si>
  <si>
    <r>
      <t>MДж</t>
    </r>
    <r>
      <rPr>
        <vertAlign val="subscript"/>
        <sz val="10"/>
        <rFont val="Arial"/>
        <family val="2"/>
        <charset val="204"/>
      </rPr>
      <t>Кукурудзи</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</si>
  <si>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MДж / MДж</t>
    </r>
    <r>
      <rPr>
        <vertAlign val="subscript"/>
        <sz val="10"/>
        <rFont val="Arial"/>
        <family val="2"/>
        <charset val="204"/>
      </rPr>
      <t>Кукурудза, добрива</t>
    </r>
  </si>
  <si>
    <r>
      <t>кг</t>
    </r>
    <r>
      <rPr>
        <vertAlign val="subscript"/>
        <sz val="10"/>
        <rFont val="Arial"/>
        <family val="2"/>
        <charset val="204"/>
      </rPr>
      <t>Кукурудзи</t>
    </r>
    <r>
      <rPr>
        <sz val="10"/>
        <rFont val="Arial"/>
        <charset val="204"/>
      </rPr>
      <t>/MДж</t>
    </r>
    <r>
      <rPr>
        <vertAlign val="subscript"/>
        <sz val="10"/>
        <rFont val="Arial"/>
        <family val="2"/>
        <charset val="204"/>
      </rPr>
      <t>Етанолу</t>
    </r>
  </si>
  <si>
    <t>на кг кукурудзи</t>
  </si>
  <si>
    <t>Транспортування кукурудзи</t>
  </si>
  <si>
    <r>
      <t>MДж</t>
    </r>
    <r>
      <rPr>
        <vertAlign val="subscript"/>
        <sz val="10"/>
        <rFont val="Arial"/>
        <family val="2"/>
        <charset val="204"/>
      </rPr>
      <t>Кукурудзи</t>
    </r>
    <r>
      <rPr>
        <sz val="10"/>
        <rFont val="Arial"/>
        <charset val="204"/>
      </rPr>
      <t>/ MДж</t>
    </r>
    <r>
      <rPr>
        <vertAlign val="subscript"/>
        <sz val="10"/>
        <rFont val="Arial"/>
        <family val="2"/>
        <charset val="204"/>
      </rPr>
      <t>Кукурудзи</t>
    </r>
  </si>
  <si>
    <r>
      <t>MДж</t>
    </r>
    <r>
      <rPr>
        <vertAlign val="subscript"/>
        <sz val="10"/>
        <rFont val="Arial"/>
        <family val="2"/>
        <charset val="204"/>
      </rPr>
      <t xml:space="preserve">Кукурудзи </t>
    </r>
    <r>
      <rPr>
        <sz val="10"/>
        <rFont val="Arial"/>
        <charset val="204"/>
      </rPr>
      <t>гa</t>
    </r>
    <r>
      <rPr>
        <vertAlign val="superscript"/>
        <sz val="10"/>
        <rFont val="Arial"/>
        <family val="2"/>
        <charset val="204"/>
      </rPr>
      <t>-1</t>
    </r>
    <r>
      <rPr>
        <sz val="10"/>
        <rFont val="Arial"/>
        <charset val="204"/>
      </rPr>
      <t xml:space="preserve"> рік</t>
    </r>
    <r>
      <rPr>
        <vertAlign val="superscript"/>
        <sz val="10"/>
        <rFont val="Arial"/>
        <family val="2"/>
        <charset val="204"/>
      </rPr>
      <t>-1</t>
    </r>
  </si>
  <si>
    <r>
      <t>MДж / MДж</t>
    </r>
    <r>
      <rPr>
        <vertAlign val="subscript"/>
        <sz val="10"/>
        <rFont val="Arial"/>
        <family val="2"/>
        <charset val="204"/>
      </rPr>
      <t>Кукурудзи, добрива</t>
    </r>
  </si>
  <si>
    <r>
      <t>тон км / MДж</t>
    </r>
    <r>
      <rPr>
        <vertAlign val="subscript"/>
        <sz val="10"/>
        <rFont val="Arial"/>
        <family val="2"/>
        <charset val="204"/>
      </rPr>
      <t>ПКукурудзи,  добрива</t>
    </r>
  </si>
  <si>
    <r>
      <t>г CO</t>
    </r>
    <r>
      <rPr>
        <vertAlign val="subscript"/>
        <sz val="10"/>
        <rFont val="Arial"/>
        <family val="2"/>
        <charset val="204"/>
      </rPr>
      <t>2, eкв</t>
    </r>
  </si>
  <si>
    <t>Викиди від ТЕЦ (ПГ)</t>
  </si>
  <si>
    <r>
      <t>MДж</t>
    </r>
    <r>
      <rPr>
        <vertAlign val="subscript"/>
        <sz val="10"/>
        <rFont val="Arial"/>
        <family val="2"/>
        <charset val="204"/>
      </rPr>
      <t>Eтанолу</t>
    </r>
    <r>
      <rPr>
        <sz val="10"/>
        <rFont val="Arial"/>
        <charset val="204"/>
      </rPr>
      <t>/ MДж</t>
    </r>
    <r>
      <rPr>
        <vertAlign val="subscript"/>
        <sz val="10"/>
        <rFont val="Arial"/>
        <family val="2"/>
        <charset val="204"/>
      </rPr>
      <t>Кукурудзи</t>
    </r>
  </si>
  <si>
    <t>Пара (від ТЕЦ (ПГ))</t>
  </si>
  <si>
    <t>ТЕЦ (Газ)</t>
  </si>
  <si>
    <r>
      <t>Викиди CH</t>
    </r>
    <r>
      <rPr>
        <vertAlign val="subscript"/>
        <sz val="10"/>
        <rFont val="Arial"/>
        <family val="2"/>
        <charset val="204"/>
      </rPr>
      <t>4</t>
    </r>
    <r>
      <rPr>
        <sz val="10"/>
        <rFont val="Arial"/>
        <charset val="204"/>
      </rPr>
      <t xml:space="preserve"> та N</t>
    </r>
    <r>
      <rPr>
        <vertAlign val="subscript"/>
        <sz val="10"/>
        <rFont val="Arial"/>
        <family val="2"/>
        <charset val="204"/>
      </rPr>
      <t>2</t>
    </r>
    <r>
      <rPr>
        <sz val="10"/>
        <rFont val="Arial"/>
        <charset val="204"/>
      </rPr>
      <t>O від ТЕЦ (ПГ)</t>
    </r>
  </si>
  <si>
    <t>Споживання ПГ на МДж пари</t>
  </si>
  <si>
    <t>1,392 тон</t>
  </si>
  <si>
    <t>Транспортування етанолу до та зі складу</t>
  </si>
  <si>
    <t>Транспортування рідини (Дизель)</t>
  </si>
  <si>
    <t>Енергоспоживання</t>
  </si>
  <si>
    <t>Викиди на МДж етанолу</t>
  </si>
  <si>
    <r>
      <t>MДж</t>
    </r>
    <r>
      <rPr>
        <vertAlign val="subscript"/>
        <sz val="10"/>
        <rFont val="Arial"/>
        <family val="2"/>
        <charset val="204"/>
      </rPr>
      <t xml:space="preserve">Eтанолу </t>
    </r>
    <r>
      <rPr>
        <sz val="10"/>
        <rFont val="Arial"/>
        <charset val="204"/>
      </rPr>
      <t>га</t>
    </r>
    <r>
      <rPr>
        <vertAlign val="superscript"/>
        <sz val="10"/>
        <rFont val="Arial"/>
        <family val="2"/>
        <charset val="204"/>
      </rPr>
      <t>-1</t>
    </r>
    <r>
      <rPr>
        <sz val="10"/>
        <rFont val="Arial"/>
        <charset val="204"/>
      </rPr>
      <t xml:space="preserve"> рік</t>
    </r>
    <r>
      <rPr>
        <vertAlign val="superscript"/>
        <sz val="10"/>
        <rFont val="Arial"/>
        <family val="2"/>
        <charset val="204"/>
      </rPr>
      <t>-1</t>
    </r>
  </si>
  <si>
    <r>
      <t>MДж / MДж</t>
    </r>
    <r>
      <rPr>
        <vertAlign val="subscript"/>
        <sz val="10"/>
        <rFont val="Arial"/>
        <family val="2"/>
        <charset val="204"/>
      </rPr>
      <t>цук.бур.добрива</t>
    </r>
  </si>
  <si>
    <r>
      <t>тон км / MДж</t>
    </r>
    <r>
      <rPr>
        <vertAlign val="subscript"/>
        <sz val="10"/>
        <rFont val="Arial"/>
        <family val="2"/>
        <charset val="204"/>
      </rPr>
      <t xml:space="preserve"> цук.бур.добрива</t>
    </r>
  </si>
  <si>
    <r>
      <t>г CO</t>
    </r>
    <r>
      <rPr>
        <b/>
        <vertAlign val="subscript"/>
        <sz val="10"/>
        <color indexed="9"/>
        <rFont val="Arial"/>
        <family val="2"/>
        <charset val="204"/>
      </rPr>
      <t>2,екв</t>
    </r>
    <r>
      <rPr>
        <b/>
        <sz val="10"/>
        <color indexed="9"/>
        <rFont val="Arial"/>
        <family val="2"/>
        <charset val="204"/>
      </rPr>
      <t xml:space="preserve"> / MЖд</t>
    </r>
    <r>
      <rPr>
        <b/>
        <vertAlign val="subscript"/>
        <sz val="10"/>
        <color indexed="9"/>
        <rFont val="Arial"/>
        <family val="2"/>
        <charset val="204"/>
      </rPr>
      <t>Eтанолу</t>
    </r>
  </si>
  <si>
    <r>
      <t>MДж</t>
    </r>
    <r>
      <rPr>
        <vertAlign val="subscript"/>
        <sz val="10"/>
        <rFont val="Arial"/>
        <family val="2"/>
        <charset val="204"/>
      </rPr>
      <t xml:space="preserve">Eтанолу </t>
    </r>
    <r>
      <rPr>
        <sz val="10"/>
        <rFont val="Arial"/>
        <charset val="204"/>
      </rPr>
      <t>/ MДж</t>
    </r>
    <r>
      <rPr>
        <vertAlign val="subscript"/>
        <sz val="10"/>
        <rFont val="Arial"/>
        <family val="2"/>
        <charset val="204"/>
      </rPr>
      <t>Eтанолу</t>
    </r>
  </si>
  <si>
    <r>
      <t>MДж</t>
    </r>
    <r>
      <rPr>
        <vertAlign val="subscript"/>
        <sz val="10"/>
        <rFont val="Arial"/>
        <family val="2"/>
        <charset val="204"/>
      </rPr>
      <t>Eтанолуl</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</si>
  <si>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 xml:space="preserve">Mдж / MДж </t>
    </r>
    <r>
      <rPr>
        <vertAlign val="subscript"/>
        <sz val="10"/>
        <rFont val="Arial"/>
        <family val="2"/>
        <charset val="204"/>
      </rPr>
      <t>цук.бур.добрива</t>
    </r>
  </si>
  <si>
    <t>на кг. етанолу</t>
  </si>
  <si>
    <t>Зміна землекористування</t>
  </si>
  <si>
    <t>Загальні викиди без розподілу:</t>
  </si>
  <si>
    <t>Скорочення викидів:</t>
  </si>
  <si>
    <t>Покращення сільськогосподарського менеджменту</t>
  </si>
  <si>
    <t>Накопичення грунтового вуглецю</t>
  </si>
  <si>
    <t>Чи відбувається покращення сільськогосподарського менеджменту?</t>
  </si>
  <si>
    <r>
      <t>тон CO</t>
    </r>
    <r>
      <rPr>
        <vertAlign val="subscript"/>
        <sz val="10"/>
        <rFont val="Arial"/>
        <family val="2"/>
        <charset val="204"/>
      </rPr>
      <t>2</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</si>
  <si>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Уловлювання та геологічне збереження CO</t>
    </r>
    <r>
      <rPr>
        <b/>
        <vertAlign val="subscript"/>
        <sz val="12"/>
        <color indexed="9"/>
        <rFont val="Arial"/>
        <family val="2"/>
        <charset val="204"/>
      </rPr>
      <t>2</t>
    </r>
    <r>
      <rPr>
        <b/>
        <sz val="12"/>
        <color indexed="9"/>
        <rFont val="Arial"/>
        <family val="2"/>
        <charset val="204"/>
      </rPr>
      <t xml:space="preserve"> </t>
    </r>
  </si>
  <si>
    <r>
      <t>Уловлювання та заміна СО</t>
    </r>
    <r>
      <rPr>
        <b/>
        <vertAlign val="subscript"/>
        <sz val="12"/>
        <color indexed="9"/>
        <rFont val="Arial"/>
        <family val="2"/>
        <charset val="204"/>
      </rPr>
      <t>2</t>
    </r>
  </si>
  <si>
    <t>Загальний результат</t>
  </si>
  <si>
    <t>Врожай (у МДж біопалива/га орних земель/рік)</t>
  </si>
  <si>
    <t>Врожай (у МДж біопалива/МДж добрива)</t>
  </si>
  <si>
    <t>http://www.biograce.net/</t>
  </si>
  <si>
    <t>Бонус (eB)</t>
  </si>
  <si>
    <r>
      <t>MДж</t>
    </r>
    <r>
      <rPr>
        <vertAlign val="subscript"/>
        <sz val="10"/>
        <rFont val="Arial"/>
        <family val="2"/>
        <charset val="204"/>
      </rPr>
      <t>Eтанолу</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</si>
  <si>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MДж</t>
    </r>
    <r>
      <rPr>
        <vertAlign val="subscript"/>
        <sz val="10"/>
        <rFont val="Arial"/>
        <family val="2"/>
        <charset val="204"/>
      </rPr>
      <t>Eтанолу</t>
    </r>
    <r>
      <rPr>
        <sz val="10"/>
        <rFont val="Arial"/>
        <charset val="204"/>
      </rPr>
      <t xml:space="preserve"> / MДж</t>
    </r>
    <r>
      <rPr>
        <vertAlign val="subscript"/>
        <sz val="10"/>
        <rFont val="Arial"/>
        <family val="2"/>
        <charset val="204"/>
      </rPr>
      <t xml:space="preserve"> цук.бцр.добрива</t>
    </r>
  </si>
  <si>
    <t>Нерозподілені результати</t>
  </si>
  <si>
    <t>Розподілені результати</t>
  </si>
  <si>
    <t xml:space="preserve">  Ці правила включені до архіву  zip-файлу, де завантажений цей інструмент. Правила також доступні на www.BioGrace.net  </t>
  </si>
  <si>
    <t>на кг пшениці</t>
  </si>
  <si>
    <t>на га, рік</t>
  </si>
  <si>
    <r>
      <t>г CO</t>
    </r>
    <r>
      <rPr>
        <b/>
        <vertAlign val="subscript"/>
        <sz val="10"/>
        <color indexed="9"/>
        <rFont val="Arial"/>
        <family val="2"/>
        <charset val="204"/>
      </rPr>
      <t xml:space="preserve">2,екв </t>
    </r>
    <r>
      <rPr>
        <b/>
        <sz val="10"/>
        <color indexed="9"/>
        <rFont val="Arial"/>
        <family val="2"/>
        <charset val="204"/>
      </rPr>
      <t>/ MДж</t>
    </r>
    <r>
      <rPr>
        <b/>
        <vertAlign val="subscript"/>
        <sz val="10"/>
        <color indexed="9"/>
        <rFont val="Arial"/>
        <family val="2"/>
        <charset val="204"/>
      </rPr>
      <t>Eтанолу</t>
    </r>
  </si>
  <si>
    <t>Вирощування пшениці</t>
  </si>
  <si>
    <t>Насіння пшениці</t>
  </si>
  <si>
    <t>Агрохімікати</t>
  </si>
  <si>
    <t>Пшениця</t>
  </si>
  <si>
    <r>
      <t>MДж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</si>
  <si>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 N гa</t>
    </r>
    <r>
      <rPr>
        <vertAlign val="superscript"/>
        <sz val="10"/>
        <rFont val="Arial"/>
        <family val="2"/>
        <charset val="204"/>
      </rPr>
      <t>-1</t>
    </r>
    <r>
      <rPr>
        <sz val="10"/>
        <rFont val="Arial"/>
        <charset val="204"/>
      </rPr>
      <t>рік</t>
    </r>
    <r>
      <rPr>
        <vertAlign val="superscript"/>
        <sz val="10"/>
        <rFont val="Arial"/>
        <family val="2"/>
        <charset val="204"/>
      </rPr>
      <t>-1</t>
    </r>
  </si>
  <si>
    <r>
      <t>MДж / MДж</t>
    </r>
    <r>
      <rPr>
        <vertAlign val="subscript"/>
        <sz val="10"/>
        <rFont val="Arial"/>
        <family val="2"/>
        <charset val="204"/>
      </rPr>
      <t>Пшениця, добрива</t>
    </r>
  </si>
  <si>
    <r>
      <t>кг</t>
    </r>
    <r>
      <rPr>
        <vertAlign val="subscript"/>
        <sz val="10"/>
        <rFont val="Arial"/>
        <family val="2"/>
        <charset val="204"/>
      </rPr>
      <t>Пшениці</t>
    </r>
    <r>
      <rPr>
        <sz val="10"/>
        <rFont val="Arial"/>
        <charset val="204"/>
      </rPr>
      <t>/MДж</t>
    </r>
    <r>
      <rPr>
        <vertAlign val="subscript"/>
        <sz val="10"/>
        <rFont val="Arial"/>
        <family val="2"/>
        <charset val="204"/>
      </rPr>
      <t>Етанолу</t>
    </r>
  </si>
  <si>
    <r>
      <t>MДж</t>
    </r>
    <r>
      <rPr>
        <vertAlign val="subscript"/>
        <sz val="10"/>
        <rFont val="Arial"/>
        <family val="2"/>
        <charset val="204"/>
      </rPr>
      <t>Пшениці</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</si>
  <si>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 CO</t>
    </r>
    <r>
      <rPr>
        <vertAlign val="subscript"/>
        <sz val="10"/>
        <rFont val="Arial"/>
        <family val="2"/>
        <charset val="204"/>
      </rPr>
      <t>2, екв</t>
    </r>
  </si>
  <si>
    <t>Транспортування пшениці</t>
  </si>
  <si>
    <r>
      <t>MДж</t>
    </r>
    <r>
      <rPr>
        <vertAlign val="subscript"/>
        <sz val="10"/>
        <rFont val="Arial"/>
        <family val="2"/>
        <charset val="204"/>
      </rPr>
      <t xml:space="preserve">Пшениці </t>
    </r>
    <r>
      <rPr>
        <sz val="10"/>
        <rFont val="Arial"/>
        <charset val="204"/>
      </rPr>
      <t>/ MДж</t>
    </r>
    <r>
      <rPr>
        <vertAlign val="subscript"/>
        <sz val="10"/>
        <rFont val="Arial"/>
        <family val="2"/>
        <charset val="204"/>
      </rPr>
      <t>Пшениці</t>
    </r>
  </si>
  <si>
    <r>
      <t>MДж / MДж</t>
    </r>
    <r>
      <rPr>
        <vertAlign val="subscript"/>
        <sz val="10"/>
        <rFont val="Arial"/>
        <family val="2"/>
        <charset val="204"/>
      </rPr>
      <t>Пшениці, добрива</t>
    </r>
  </si>
  <si>
    <r>
      <t>MДж / MДж</t>
    </r>
    <r>
      <rPr>
        <vertAlign val="subscript"/>
        <sz val="10"/>
        <rFont val="Arial"/>
        <family val="2"/>
        <charset val="204"/>
      </rPr>
      <t>Пшениці</t>
    </r>
  </si>
  <si>
    <r>
      <t>MДж</t>
    </r>
    <r>
      <rPr>
        <vertAlign val="subscript"/>
        <sz val="10"/>
        <rFont val="Arial"/>
        <family val="2"/>
        <charset val="204"/>
      </rPr>
      <t>Пшениціt</t>
    </r>
    <r>
      <rPr>
        <sz val="10"/>
        <rFont val="Arial"/>
        <charset val="204"/>
      </rPr>
      <t xml:space="preserve"> / MДж</t>
    </r>
    <r>
      <rPr>
        <vertAlign val="subscript"/>
        <sz val="10"/>
        <rFont val="Arial"/>
        <family val="2"/>
        <charset val="204"/>
      </rPr>
      <t>Пшениці</t>
    </r>
  </si>
  <si>
    <r>
      <t>g CO</t>
    </r>
    <r>
      <rPr>
        <b/>
        <vertAlign val="subscript"/>
        <sz val="10"/>
        <color indexed="9"/>
        <rFont val="Arial"/>
        <family val="2"/>
        <charset val="204"/>
      </rPr>
      <t>2,eq</t>
    </r>
    <r>
      <rPr>
        <b/>
        <sz val="10"/>
        <color indexed="9"/>
        <rFont val="Arial"/>
        <family val="2"/>
        <charset val="204"/>
      </rPr>
      <t xml:space="preserve"> / MДж</t>
    </r>
    <r>
      <rPr>
        <b/>
        <vertAlign val="subscript"/>
        <sz val="10"/>
        <color indexed="9"/>
        <rFont val="Arial"/>
        <family val="2"/>
        <charset val="204"/>
      </rPr>
      <t>Eтанолу</t>
    </r>
  </si>
  <si>
    <r>
      <t>MДж</t>
    </r>
    <r>
      <rPr>
        <vertAlign val="subscript"/>
        <sz val="10"/>
        <rFont val="Arial"/>
        <family val="2"/>
        <charset val="204"/>
      </rPr>
      <t xml:space="preserve">Пшениці </t>
    </r>
    <r>
      <rPr>
        <sz val="10"/>
        <rFont val="Arial"/>
        <charset val="204"/>
      </rPr>
      <t>гa</t>
    </r>
    <r>
      <rPr>
        <vertAlign val="superscript"/>
        <sz val="10"/>
        <rFont val="Arial"/>
        <family val="2"/>
        <charset val="204"/>
      </rPr>
      <t>-1</t>
    </r>
    <r>
      <rPr>
        <sz val="10"/>
        <rFont val="Arial"/>
        <charset val="204"/>
      </rPr>
      <t xml:space="preserve"> рік</t>
    </r>
    <r>
      <rPr>
        <vertAlign val="superscript"/>
        <sz val="10"/>
        <rFont val="Arial"/>
        <family val="2"/>
        <charset val="204"/>
      </rPr>
      <t>-1</t>
    </r>
  </si>
  <si>
    <t>Цукровий буряк</t>
  </si>
  <si>
    <r>
      <t>МДж</t>
    </r>
    <r>
      <rPr>
        <vertAlign val="subscript"/>
        <sz val="10"/>
        <rFont val="Arial"/>
        <family val="2"/>
        <charset val="204"/>
      </rPr>
      <t>цук.бур.</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</si>
  <si>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МДж / МДж</t>
    </r>
    <r>
      <rPr>
        <vertAlign val="subscript"/>
        <sz val="10"/>
        <rFont val="Arial"/>
        <family val="2"/>
        <charset val="204"/>
      </rPr>
      <t>цук.бур., добрива</t>
    </r>
  </si>
  <si>
    <r>
      <t>кг</t>
    </r>
    <r>
      <rPr>
        <vertAlign val="subscript"/>
        <sz val="10"/>
        <rFont val="Arial"/>
        <family val="2"/>
        <charset val="204"/>
      </rPr>
      <t>цук.бур.</t>
    </r>
    <r>
      <rPr>
        <sz val="10"/>
        <rFont val="Arial"/>
        <charset val="204"/>
      </rPr>
      <t>/МДж</t>
    </r>
    <r>
      <rPr>
        <vertAlign val="subscript"/>
        <sz val="10"/>
        <rFont val="Arial"/>
        <family val="2"/>
        <charset val="204"/>
      </rPr>
      <t>етанолу</t>
    </r>
  </si>
  <si>
    <r>
      <t>Викиди на МДж</t>
    </r>
    <r>
      <rPr>
        <b/>
        <vertAlign val="subscript"/>
        <sz val="10"/>
        <rFont val="Arial"/>
        <family val="2"/>
        <charset val="204"/>
      </rPr>
      <t>етанолу</t>
    </r>
  </si>
  <si>
    <t xml:space="preserve">Як пояснено у вкладці "Опис" щодо Непослідовності використання ПГП </t>
  </si>
  <si>
    <r>
      <t>кг гa</t>
    </r>
    <r>
      <rPr>
        <vertAlign val="superscript"/>
        <sz val="10"/>
        <rFont val="Arial"/>
        <family val="2"/>
        <charset val="204"/>
      </rPr>
      <t>-1</t>
    </r>
    <r>
      <rPr>
        <sz val="10"/>
        <rFont val="Arial"/>
        <charset val="204"/>
      </rPr>
      <t xml:space="preserve"> рік</t>
    </r>
    <r>
      <rPr>
        <vertAlign val="superscript"/>
        <sz val="10"/>
        <rFont val="Arial"/>
        <family val="2"/>
        <charset val="204"/>
      </rPr>
      <t>1</t>
    </r>
  </si>
  <si>
    <t>Споживання енергії</t>
  </si>
  <si>
    <t>Дизель</t>
  </si>
  <si>
    <t>N-добриво (кгN)</t>
  </si>
  <si>
    <t>CaO-добриво (кг CaO)</t>
  </si>
  <si>
    <r>
      <t>K</t>
    </r>
    <r>
      <rPr>
        <vertAlign val="subscript"/>
        <sz val="10"/>
        <rFont val="Verdana"/>
        <family val="2"/>
        <charset val="204"/>
      </rPr>
      <t>2</t>
    </r>
    <r>
      <rPr>
        <sz val="10"/>
        <rFont val="Verdana"/>
        <charset val="204"/>
      </rPr>
      <t>O-добриво(кг K</t>
    </r>
    <r>
      <rPr>
        <vertAlign val="subscript"/>
        <sz val="10"/>
        <rFont val="Verdana"/>
        <family val="2"/>
        <charset val="204"/>
      </rPr>
      <t>2</t>
    </r>
    <r>
      <rPr>
        <sz val="10"/>
        <rFont val="Verdana"/>
        <charset val="204"/>
      </rPr>
      <t>O)</t>
    </r>
  </si>
  <si>
    <r>
      <t>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-добриво (кг 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t>
    </r>
  </si>
  <si>
    <t>Пестициди</t>
  </si>
  <si>
    <t>Насіння цукрового буряку</t>
  </si>
  <si>
    <r>
      <t>кг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</si>
  <si>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МДж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</si>
  <si>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 N гa</t>
    </r>
    <r>
      <rPr>
        <vertAlign val="superscript"/>
        <sz val="10"/>
        <rFont val="Arial"/>
        <family val="2"/>
        <charset val="204"/>
      </rPr>
      <t xml:space="preserve">-1 </t>
    </r>
    <r>
      <rPr>
        <sz val="10"/>
        <rFont val="Arial"/>
        <charset val="204"/>
      </rPr>
      <t>рік</t>
    </r>
    <r>
      <rPr>
        <vertAlign val="superscript"/>
        <sz val="10"/>
        <rFont val="Arial"/>
        <family val="2"/>
        <charset val="204"/>
      </rPr>
      <t>-1</t>
    </r>
  </si>
  <si>
    <r>
      <t>кг K</t>
    </r>
    <r>
      <rPr>
        <vertAlign val="subscript"/>
        <sz val="10"/>
        <rFont val="Arial"/>
        <family val="2"/>
        <charset val="204"/>
      </rPr>
      <t>2</t>
    </r>
    <r>
      <rPr>
        <sz val="10"/>
        <rFont val="Arial"/>
        <charset val="204"/>
      </rPr>
      <t>O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</si>
  <si>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 P</t>
    </r>
    <r>
      <rPr>
        <vertAlign val="subscript"/>
        <sz val="10"/>
        <rFont val="Arial"/>
        <family val="2"/>
        <charset val="204"/>
      </rPr>
      <t>2</t>
    </r>
    <r>
      <rPr>
        <sz val="10"/>
        <rFont val="Arial"/>
        <charset val="204"/>
      </rPr>
      <t>O</t>
    </r>
    <r>
      <rPr>
        <vertAlign val="subscript"/>
        <sz val="10"/>
        <rFont val="Arial"/>
        <family val="2"/>
        <charset val="204"/>
      </rPr>
      <t>5</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</si>
  <si>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кг CaO гa</t>
    </r>
    <r>
      <rPr>
        <vertAlign val="superscript"/>
        <sz val="10"/>
        <rFont val="Arial"/>
        <family val="2"/>
        <charset val="204"/>
      </rPr>
      <t xml:space="preserve">-1 </t>
    </r>
    <r>
      <rPr>
        <sz val="10"/>
        <rFont val="Arial"/>
        <charset val="204"/>
      </rPr>
      <t>рік</t>
    </r>
    <r>
      <rPr>
        <vertAlign val="superscript"/>
        <sz val="10"/>
        <rFont val="Arial"/>
        <family val="2"/>
        <charset val="204"/>
      </rPr>
      <t>-1</t>
    </r>
  </si>
  <si>
    <t>Транспорт для сухого продукту (Дизель)</t>
  </si>
  <si>
    <t>Паливо</t>
  </si>
  <si>
    <t>км</t>
  </si>
  <si>
    <r>
      <t xml:space="preserve">МДж </t>
    </r>
    <r>
      <rPr>
        <vertAlign val="subscript"/>
        <sz val="10"/>
        <rFont val="Arial"/>
        <family val="2"/>
        <charset val="204"/>
      </rPr>
      <t>цук.бур.</t>
    </r>
    <r>
      <rPr>
        <sz val="10"/>
        <rFont val="Arial"/>
        <charset val="204"/>
      </rPr>
      <t xml:space="preserve"> / МДж </t>
    </r>
    <r>
      <rPr>
        <vertAlign val="subscript"/>
        <sz val="10"/>
        <rFont val="Arial"/>
        <family val="2"/>
        <charset val="204"/>
      </rPr>
      <t>цук.бур.</t>
    </r>
  </si>
  <si>
    <r>
      <t xml:space="preserve">МДж </t>
    </r>
    <r>
      <rPr>
        <vertAlign val="subscript"/>
        <sz val="10"/>
        <rFont val="Arial"/>
        <family val="2"/>
        <charset val="204"/>
      </rPr>
      <t>цук.бур.</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</si>
  <si>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 xml:space="preserve">МДж / МДж </t>
    </r>
    <r>
      <rPr>
        <vertAlign val="subscript"/>
        <sz val="10"/>
        <rFont val="Arial"/>
        <family val="2"/>
        <charset val="204"/>
      </rPr>
      <t>цук.бур.добрива</t>
    </r>
  </si>
  <si>
    <r>
      <t xml:space="preserve">тон км / МДж </t>
    </r>
    <r>
      <rPr>
        <vertAlign val="subscript"/>
        <sz val="10"/>
        <rFont val="Arial"/>
        <family val="2"/>
        <charset val="204"/>
      </rPr>
      <t>цук.бур.добрива</t>
    </r>
  </si>
  <si>
    <r>
      <t>г CO</t>
    </r>
    <r>
      <rPr>
        <vertAlign val="subscript"/>
        <sz val="10"/>
        <rFont val="Arial"/>
        <family val="2"/>
        <charset val="204"/>
      </rPr>
      <t>2</t>
    </r>
  </si>
  <si>
    <r>
      <t>г CH</t>
    </r>
    <r>
      <rPr>
        <vertAlign val="subscript"/>
        <sz val="10"/>
        <rFont val="Arial"/>
        <family val="2"/>
        <charset val="204"/>
      </rPr>
      <t>4</t>
    </r>
  </si>
  <si>
    <r>
      <t>г N</t>
    </r>
    <r>
      <rPr>
        <vertAlign val="subscript"/>
        <sz val="10"/>
        <rFont val="Arial"/>
        <family val="2"/>
        <charset val="204"/>
      </rPr>
      <t>2</t>
    </r>
    <r>
      <rPr>
        <sz val="10"/>
        <rFont val="Arial"/>
        <charset val="204"/>
      </rPr>
      <t>O</t>
    </r>
  </si>
  <si>
    <r>
      <t>г CO</t>
    </r>
    <r>
      <rPr>
        <vertAlign val="subscript"/>
        <sz val="10"/>
        <rFont val="Arial"/>
        <family val="2"/>
        <charset val="204"/>
      </rPr>
      <t>2, eq</t>
    </r>
  </si>
  <si>
    <r>
      <t>г CO</t>
    </r>
    <r>
      <rPr>
        <b/>
        <vertAlign val="subscript"/>
        <sz val="10"/>
        <color indexed="9"/>
        <rFont val="Arial"/>
        <family val="2"/>
        <charset val="204"/>
      </rPr>
      <t>2,екв</t>
    </r>
    <r>
      <rPr>
        <b/>
        <sz val="10"/>
        <color indexed="9"/>
        <rFont val="Arial"/>
        <family val="2"/>
        <charset val="204"/>
      </rPr>
      <t xml:space="preserve"> / MДж</t>
    </r>
    <r>
      <rPr>
        <b/>
        <vertAlign val="subscript"/>
        <sz val="10"/>
        <color indexed="9"/>
        <rFont val="Arial"/>
        <family val="2"/>
        <charset val="204"/>
      </rPr>
      <t>Етанолу</t>
    </r>
  </si>
  <si>
    <t>Викиди на MДж етанолу</t>
  </si>
  <si>
    <t>на кг етанолу</t>
  </si>
  <si>
    <r>
      <t>г CO</t>
    </r>
    <r>
      <rPr>
        <vertAlign val="subscript"/>
        <sz val="10"/>
        <rFont val="Arial"/>
        <family val="2"/>
        <charset val="204"/>
      </rPr>
      <t>2, екв</t>
    </r>
  </si>
  <si>
    <t>Викиди від котлу ПГ</t>
  </si>
  <si>
    <r>
      <t>MДж</t>
    </r>
    <r>
      <rPr>
        <vertAlign val="subscript"/>
        <sz val="10"/>
        <rFont val="Arial"/>
        <family val="2"/>
        <charset val="204"/>
      </rPr>
      <t>Етанолу</t>
    </r>
    <r>
      <rPr>
        <sz val="10"/>
        <rFont val="Arial"/>
        <charset val="204"/>
      </rPr>
      <t xml:space="preserve"> гa</t>
    </r>
    <r>
      <rPr>
        <vertAlign val="superscript"/>
        <sz val="10"/>
        <rFont val="Arial"/>
        <family val="2"/>
        <charset val="204"/>
      </rPr>
      <t>-1</t>
    </r>
    <r>
      <rPr>
        <sz val="10"/>
        <rFont val="Arial"/>
        <charset val="204"/>
      </rPr>
      <t xml:space="preserve"> рік</t>
    </r>
    <r>
      <rPr>
        <vertAlign val="superscript"/>
        <sz val="10"/>
        <rFont val="Arial"/>
        <family val="2"/>
        <charset val="204"/>
      </rPr>
      <t>-1</t>
    </r>
  </si>
  <si>
    <r>
      <t>МДж/ MДж</t>
    </r>
    <r>
      <rPr>
        <vertAlign val="subscript"/>
        <sz val="10"/>
        <rFont val="Arial"/>
        <family val="2"/>
        <charset val="204"/>
      </rPr>
      <t>цук.бур. добрива</t>
    </r>
  </si>
  <si>
    <t xml:space="preserve">Етанол </t>
  </si>
  <si>
    <t>Transport per:</t>
  </si>
  <si>
    <t>Транспортування:</t>
  </si>
  <si>
    <t>Пара (від котлу ПГ)</t>
  </si>
  <si>
    <t>Котел ПГ</t>
  </si>
  <si>
    <r>
      <t>Викиди CH</t>
    </r>
    <r>
      <rPr>
        <vertAlign val="subscript"/>
        <sz val="10"/>
        <rFont val="Arial"/>
        <family val="2"/>
        <charset val="204"/>
      </rPr>
      <t>4</t>
    </r>
    <r>
      <rPr>
        <sz val="10"/>
        <rFont val="Arial"/>
        <charset val="204"/>
      </rPr>
      <t xml:space="preserve"> та N</t>
    </r>
    <r>
      <rPr>
        <vertAlign val="subscript"/>
        <sz val="10"/>
        <rFont val="Arial"/>
        <family val="2"/>
        <charset val="204"/>
      </rPr>
      <t>2</t>
    </r>
    <r>
      <rPr>
        <sz val="10"/>
        <rFont val="Arial"/>
        <charset val="204"/>
      </rPr>
      <t>O від котлу ПГ</t>
    </r>
  </si>
  <si>
    <t>Споживання ПГ/MДж пари</t>
  </si>
  <si>
    <t>Природний газ (4000 км, якість ЄС)</t>
  </si>
  <si>
    <t>Споживання е/е / MДж пари</t>
  </si>
  <si>
    <r>
      <t>MДж</t>
    </r>
    <r>
      <rPr>
        <vertAlign val="subscript"/>
        <sz val="10"/>
        <rFont val="Arial"/>
        <family val="2"/>
        <charset val="204"/>
      </rPr>
      <t xml:space="preserve">Eтанолу </t>
    </r>
    <r>
      <rPr>
        <sz val="10"/>
        <rFont val="Arial"/>
        <charset val="204"/>
      </rPr>
      <t>/ MДж</t>
    </r>
    <r>
      <rPr>
        <vertAlign val="subscript"/>
        <sz val="10"/>
        <rFont val="Arial"/>
        <family val="2"/>
        <charset val="204"/>
      </rPr>
      <t>цук.бур.</t>
    </r>
  </si>
  <si>
    <r>
      <t>Mдж</t>
    </r>
    <r>
      <rPr>
        <vertAlign val="subscript"/>
        <sz val="10"/>
        <rFont val="Arial"/>
        <family val="2"/>
        <charset val="204"/>
      </rPr>
      <t xml:space="preserve">жом цук.бур. </t>
    </r>
    <r>
      <rPr>
        <sz val="10"/>
        <rFont val="Arial"/>
        <charset val="204"/>
      </rPr>
      <t>/ MДж</t>
    </r>
    <r>
      <rPr>
        <vertAlign val="subscript"/>
        <sz val="10"/>
        <rFont val="Arial"/>
        <family val="2"/>
        <charset val="204"/>
      </rPr>
      <t>цук.бур.</t>
    </r>
  </si>
  <si>
    <r>
      <t>MДж / MДж</t>
    </r>
    <r>
      <rPr>
        <vertAlign val="subscript"/>
        <sz val="10"/>
        <rFont val="Arial"/>
        <family val="2"/>
        <charset val="204"/>
      </rPr>
      <t>етанолу</t>
    </r>
  </si>
  <si>
    <r>
      <t>MДж / MДж</t>
    </r>
    <r>
      <rPr>
        <vertAlign val="subscript"/>
        <sz val="10"/>
        <rFont val="Arial"/>
        <family val="2"/>
        <charset val="204"/>
      </rPr>
      <t>Eтанолу</t>
    </r>
  </si>
  <si>
    <r>
      <t>MДж / MДж</t>
    </r>
    <r>
      <rPr>
        <vertAlign val="subscript"/>
        <sz val="10"/>
        <rFont val="Arial"/>
        <family val="2"/>
        <charset val="204"/>
      </rPr>
      <t>пари</t>
    </r>
  </si>
  <si>
    <r>
      <t>MДж/ MДж</t>
    </r>
    <r>
      <rPr>
        <vertAlign val="subscript"/>
        <sz val="10"/>
        <rFont val="Arial"/>
        <family val="2"/>
        <charset val="204"/>
      </rPr>
      <t>пари</t>
    </r>
  </si>
  <si>
    <t>Розподіл</t>
  </si>
  <si>
    <t>Основний продукт:</t>
  </si>
  <si>
    <t>Жом цукрового буряку</t>
  </si>
  <si>
    <t xml:space="preserve">Вміст енергії  </t>
  </si>
  <si>
    <t>Всього:</t>
  </si>
  <si>
    <t>MДж</t>
  </si>
  <si>
    <t xml:space="preserve">Викиди до та під час цього етапу </t>
  </si>
  <si>
    <t>Загальні викиди після розподілу:</t>
  </si>
  <si>
    <r>
      <t>г CO</t>
    </r>
    <r>
      <rPr>
        <b/>
        <vertAlign val="subscript"/>
        <sz val="10"/>
        <color indexed="9"/>
        <rFont val="Arial"/>
        <family val="2"/>
        <charset val="204"/>
      </rPr>
      <t>2,екв</t>
    </r>
    <r>
      <rPr>
        <b/>
        <sz val="10"/>
        <color indexed="9"/>
        <rFont val="Arial"/>
        <family val="2"/>
        <charset val="204"/>
      </rPr>
      <t xml:space="preserve"> / MДж</t>
    </r>
    <r>
      <rPr>
        <b/>
        <vertAlign val="subscript"/>
        <sz val="10"/>
        <color indexed="9"/>
        <rFont val="Arial"/>
        <family val="2"/>
        <charset val="204"/>
      </rPr>
      <t>Eтанолу</t>
    </r>
  </si>
  <si>
    <r>
      <t>г CO</t>
    </r>
    <r>
      <rPr>
        <vertAlign val="subscript"/>
        <sz val="10"/>
        <rFont val="Arial"/>
        <family val="2"/>
        <charset val="204"/>
      </rPr>
      <t>2,екв</t>
    </r>
    <r>
      <rPr>
        <sz val="10"/>
        <rFont val="Arial"/>
        <charset val="204"/>
      </rPr>
      <t xml:space="preserve"> / MДж</t>
    </r>
    <r>
      <rPr>
        <vertAlign val="subscript"/>
        <sz val="10"/>
        <rFont val="Arial"/>
        <family val="2"/>
        <charset val="204"/>
      </rPr>
      <t>eтанолу</t>
    </r>
  </si>
  <si>
    <t>Етанол</t>
  </si>
  <si>
    <r>
      <t>ton CO</t>
    </r>
    <r>
      <rPr>
        <b/>
        <vertAlign val="subscript"/>
        <sz val="10"/>
        <rFont val="Arial"/>
        <family val="2"/>
        <charset val="204"/>
      </rPr>
      <t>2</t>
    </r>
    <r>
      <rPr>
        <b/>
        <sz val="10"/>
        <rFont val="Arial"/>
        <family val="2"/>
        <charset val="204"/>
      </rPr>
      <t xml:space="preserve"> ha</t>
    </r>
    <r>
      <rPr>
        <b/>
        <vertAlign val="superscript"/>
        <sz val="10"/>
        <rFont val="Arial"/>
        <family val="2"/>
        <charset val="204"/>
      </rPr>
      <t>-1</t>
    </r>
    <r>
      <rPr>
        <b/>
        <sz val="10"/>
        <rFont val="Arial"/>
        <family val="2"/>
        <charset val="204"/>
      </rPr>
      <t xml:space="preserve"> year</t>
    </r>
    <r>
      <rPr>
        <b/>
        <vertAlign val="superscript"/>
        <sz val="10"/>
        <rFont val="Arial"/>
        <family val="2"/>
        <charset val="204"/>
      </rPr>
      <t>-1</t>
    </r>
  </si>
  <si>
    <t>yes</t>
  </si>
  <si>
    <t>no</t>
  </si>
  <si>
    <t>No-till</t>
  </si>
  <si>
    <t>medium</t>
  </si>
  <si>
    <r>
      <t xml:space="preserve">Calculation :   </t>
    </r>
    <r>
      <rPr>
        <sz val="10"/>
        <rFont val="Arial"/>
        <charset val="204"/>
      </rPr>
      <t>Please choose your calculation type bellow, and then fill the adequate part of the questionnary</t>
    </r>
  </si>
  <si>
    <t>General principles</t>
  </si>
  <si>
    <t>These guidelines set up rules and data for assessing the quantity of Soil Organic Carbon (SOC) per hectare.</t>
  </si>
  <si>
    <t xml:space="preserve">As an alternative to using these data, other appropriate methods, including measurements, may be used to determine SOC. </t>
  </si>
  <si>
    <t>Type of data use</t>
  </si>
  <si>
    <t>measurements</t>
  </si>
  <si>
    <t>modeling</t>
  </si>
  <si>
    <t>others</t>
  </si>
  <si>
    <t>More detail information</t>
  </si>
  <si>
    <t xml:space="preserve">Ex : </t>
  </si>
  <si>
    <t xml:space="preserve">If using data from other methods than measurements : </t>
  </si>
  <si>
    <t xml:space="preserve">Please confirm that they take into account : </t>
  </si>
  <si>
    <t>climate</t>
  </si>
  <si>
    <t>land cover</t>
  </si>
  <si>
    <t>land management and inputs.</t>
  </si>
  <si>
    <t>soil type</t>
  </si>
  <si>
    <t>If measurements : where were they made, who carried them out, years of measurements,</t>
  </si>
  <si>
    <r>
      <t>Результати 
у г CO</t>
    </r>
    <r>
      <rPr>
        <b/>
        <i/>
        <vertAlign val="subscript"/>
        <sz val="10"/>
        <color indexed="9"/>
        <rFont val="Arial"/>
        <family val="2"/>
        <charset val="204"/>
      </rPr>
      <t>2</t>
    </r>
    <r>
      <rPr>
        <b/>
        <i/>
        <sz val="10"/>
        <color indexed="9"/>
        <rFont val="Arial"/>
        <family val="2"/>
        <charset val="204"/>
      </rPr>
      <t>екв/МДж етанолу</t>
    </r>
  </si>
  <si>
    <t>Розподіл чинника</t>
  </si>
  <si>
    <t>Всього</t>
  </si>
  <si>
    <t>Фактичні / 
За замовчуванням</t>
  </si>
  <si>
    <t>Огляд результатів</t>
  </si>
  <si>
    <r>
      <t>Вирощування e</t>
    </r>
    <r>
      <rPr>
        <b/>
        <vertAlign val="subscript"/>
        <sz val="12"/>
        <color indexed="9"/>
        <rFont val="Arial"/>
        <family val="2"/>
        <charset val="204"/>
      </rPr>
      <t>ec</t>
    </r>
  </si>
  <si>
    <r>
      <t>Обробка e</t>
    </r>
    <r>
      <rPr>
        <b/>
        <vertAlign val="subscript"/>
        <sz val="12"/>
        <color indexed="9"/>
        <rFont val="Arial"/>
        <family val="2"/>
        <charset val="204"/>
      </rPr>
      <t>p</t>
    </r>
  </si>
  <si>
    <r>
      <t>Транспортування e</t>
    </r>
    <r>
      <rPr>
        <b/>
        <vertAlign val="subscript"/>
        <sz val="12"/>
        <color indexed="9"/>
        <rFont val="Arial"/>
        <family val="2"/>
        <charset val="204"/>
      </rPr>
      <t>td</t>
    </r>
  </si>
  <si>
    <r>
      <t>Зміна землекористування e</t>
    </r>
    <r>
      <rPr>
        <b/>
        <vertAlign val="subscript"/>
        <sz val="12"/>
        <color indexed="9"/>
        <rFont val="Arial"/>
        <family val="2"/>
        <charset val="204"/>
      </rPr>
      <t>l</t>
    </r>
  </si>
  <si>
    <t>Значення за замовчуванням RED, Додаток V.D</t>
  </si>
  <si>
    <t>Скорочення викидів</t>
  </si>
  <si>
    <t>до етанолу</t>
  </si>
  <si>
    <t>до жому цукрового буряку</t>
  </si>
  <si>
    <t>Скорочення викидів ПГ</t>
  </si>
  <si>
    <t>Посилання викопного палива (бензин)</t>
  </si>
  <si>
    <r>
      <t xml:space="preserve"> г CO</t>
    </r>
    <r>
      <rPr>
        <vertAlign val="subscript"/>
        <sz val="10"/>
        <rFont val="Arial"/>
        <family val="2"/>
        <charset val="204"/>
      </rPr>
      <t>2,екв</t>
    </r>
    <r>
      <rPr>
        <sz val="10"/>
        <rFont val="Arial"/>
        <charset val="204"/>
      </rPr>
      <t>/МДж</t>
    </r>
  </si>
  <si>
    <t xml:space="preserve">Ці правила включені до архіву  zip-файлу, де завантажений цей інструмент. Правила також доступні на www.BioGrace.net  </t>
  </si>
  <si>
    <t>Вологомісткість</t>
  </si>
  <si>
    <t>Вирощування цукрових буряків</t>
  </si>
  <si>
    <t>Кількість продукту</t>
  </si>
  <si>
    <t>Розраховані викиди</t>
  </si>
  <si>
    <t>Інформація</t>
  </si>
  <si>
    <t>на гa, рік</t>
  </si>
  <si>
    <r>
      <t>г CO</t>
    </r>
    <r>
      <rPr>
        <b/>
        <vertAlign val="subscript"/>
        <sz val="10"/>
        <color indexed="9"/>
        <rFont val="Arial"/>
        <family val="2"/>
        <charset val="204"/>
      </rPr>
      <t>2,екв</t>
    </r>
    <r>
      <rPr>
        <b/>
        <sz val="10"/>
        <color indexed="9"/>
        <rFont val="Arial"/>
        <family val="2"/>
        <charset val="204"/>
      </rPr>
      <t>/ МДж етанолу</t>
    </r>
  </si>
  <si>
    <t>Результат</t>
  </si>
  <si>
    <t>на кг цукрового буряку</t>
  </si>
  <si>
    <r>
      <t>г CO</t>
    </r>
    <r>
      <rPr>
        <b/>
        <vertAlign val="subscript"/>
        <sz val="10"/>
        <rFont val="Arial"/>
        <family val="2"/>
        <charset val="204"/>
      </rPr>
      <t>2</t>
    </r>
  </si>
  <si>
    <r>
      <t>г CH</t>
    </r>
    <r>
      <rPr>
        <b/>
        <vertAlign val="subscript"/>
        <sz val="10"/>
        <rFont val="Arial"/>
        <family val="2"/>
        <charset val="204"/>
      </rPr>
      <t>4</t>
    </r>
  </si>
  <si>
    <r>
      <t>г N</t>
    </r>
    <r>
      <rPr>
        <b/>
        <vertAlign val="subscript"/>
        <sz val="10"/>
        <rFont val="Arial"/>
        <family val="2"/>
        <charset val="204"/>
      </rPr>
      <t>2</t>
    </r>
    <r>
      <rPr>
        <b/>
        <sz val="10"/>
        <rFont val="Arial"/>
        <family val="2"/>
        <charset val="204"/>
      </rPr>
      <t>O</t>
    </r>
  </si>
  <si>
    <r>
      <t>г CO</t>
    </r>
    <r>
      <rPr>
        <b/>
        <vertAlign val="subscript"/>
        <sz val="10"/>
        <rFont val="Arial"/>
        <family val="2"/>
        <charset val="204"/>
      </rPr>
      <t>2, екв</t>
    </r>
  </si>
  <si>
    <r>
      <t>кг CO</t>
    </r>
    <r>
      <rPr>
        <b/>
        <vertAlign val="subscript"/>
        <sz val="10"/>
        <rFont val="Arial"/>
        <family val="2"/>
        <charset val="204"/>
      </rPr>
      <t>2, екв</t>
    </r>
  </si>
  <si>
    <t>Етаноловий завод</t>
  </si>
  <si>
    <t>Кількість продукції</t>
  </si>
  <si>
    <t>Транспортування цукрового буряку</t>
  </si>
  <si>
    <t>Транспортування етанолу</t>
  </si>
  <si>
    <t>до та зі складу</t>
  </si>
  <si>
    <t>на основний та побічний продукт</t>
  </si>
  <si>
    <t>Загальний обсяг викидів до розподілу</t>
  </si>
  <si>
    <t>Автозаправна станція</t>
  </si>
  <si>
    <t>Врожай</t>
  </si>
  <si>
    <r>
      <t>The sum of these emissions (in g CO</t>
    </r>
    <r>
      <rPr>
        <vertAlign val="subscript"/>
        <sz val="10"/>
        <rFont val="Arial"/>
        <family val="2"/>
        <charset val="204"/>
      </rPr>
      <t>2,eq</t>
    </r>
    <r>
      <rPr>
        <sz val="10"/>
        <rFont val="Arial"/>
        <charset val="204"/>
      </rPr>
      <t xml:space="preserve"> / MJ</t>
    </r>
    <r>
      <rPr>
        <vertAlign val="subscript"/>
        <sz val="10"/>
        <rFont val="Arial"/>
        <family val="2"/>
        <charset val="204"/>
      </rPr>
      <t>biofuel</t>
    </r>
    <r>
      <rPr>
        <sz val="10"/>
        <rFont val="Arial"/>
        <charset val="204"/>
      </rPr>
      <t>) and the emission reduction percentage (%, as compared to the fossil fuel reference) might be slightly different as compared to the values in RED Annex V.D and V.A, respectively. This is caused by rounding. In the RED, the total emission in g CO</t>
    </r>
    <r>
      <rPr>
        <vertAlign val="subscript"/>
        <sz val="10"/>
        <rFont val="Arial"/>
        <family val="2"/>
        <charset val="204"/>
      </rPr>
      <t>2,eq</t>
    </r>
    <r>
      <rPr>
        <sz val="10"/>
        <rFont val="Arial"/>
        <charset val="204"/>
      </rPr>
      <t xml:space="preserve">/MJ is calculated as the sum of </t>
    </r>
    <r>
      <rPr>
        <u/>
        <sz val="10"/>
        <rFont val="Arial"/>
        <family val="2"/>
        <charset val="204"/>
      </rPr>
      <t>the rounded</t>
    </r>
    <r>
      <rPr>
        <sz val="10"/>
        <rFont val="Arial"/>
        <charset val="204"/>
      </rPr>
      <t xml:space="preserve"> values for cultivation, transport and processing, and the emission reduction percentage is based on this number. In this Excel file this rounding is not made as the Excel file might be used to calculate actual values. The RED and the Communications do not require to make roundings, only "the figures for the greenhouse gas savings are rounded to the nearest percentage point" (see footnote 14 in the Communication "practical implementation").</t>
    </r>
  </si>
  <si>
    <r>
      <t>CH</t>
    </r>
    <r>
      <rPr>
        <vertAlign val="subscript"/>
        <sz val="10"/>
        <rFont val="Verdana"/>
        <family val="2"/>
        <charset val="204"/>
      </rPr>
      <t>4</t>
    </r>
    <r>
      <rPr>
        <sz val="10"/>
        <rFont val="Verdana"/>
        <charset val="204"/>
      </rPr>
      <t xml:space="preserve"> and N</t>
    </r>
    <r>
      <rPr>
        <vertAlign val="subscript"/>
        <sz val="10"/>
        <rFont val="Verdana"/>
        <family val="2"/>
        <charset val="204"/>
      </rPr>
      <t>2</t>
    </r>
    <r>
      <rPr>
        <sz val="10"/>
        <rFont val="Verdana"/>
        <charset val="204"/>
      </rPr>
      <t>O emissions from Lignite CHP</t>
    </r>
  </si>
  <si>
    <r>
      <t>CH</t>
    </r>
    <r>
      <rPr>
        <vertAlign val="subscript"/>
        <sz val="10"/>
        <rFont val="Verdana"/>
        <family val="2"/>
        <charset val="204"/>
      </rPr>
      <t>4</t>
    </r>
    <r>
      <rPr>
        <sz val="10"/>
        <rFont val="Verdana"/>
        <charset val="204"/>
      </rPr>
      <t xml:space="preserve"> and N</t>
    </r>
    <r>
      <rPr>
        <vertAlign val="subscript"/>
        <sz val="10"/>
        <rFont val="Verdana"/>
        <family val="2"/>
        <charset val="204"/>
      </rPr>
      <t>2</t>
    </r>
    <r>
      <rPr>
        <sz val="10"/>
        <rFont val="Verdana"/>
        <charset val="204"/>
      </rPr>
      <t>O emissions from Straw CHP</t>
    </r>
  </si>
  <si>
    <t>Lignite input per MJ steam</t>
  </si>
  <si>
    <t>Electricity output / MJ steam</t>
  </si>
  <si>
    <t>Electricity generation</t>
  </si>
  <si>
    <t>Electricity (taken from CHP)</t>
  </si>
  <si>
    <t>The soil organic carbon per unit area associated with the  reference agricultural mangement practices (measured as mass of carbon per unit area, including both soil and vegetation) [ton C / ha]</t>
  </si>
  <si>
    <t xml:space="preserve">Which type of calculation do you want to use ? </t>
  </si>
  <si>
    <r>
      <t>SOC</t>
    </r>
    <r>
      <rPr>
        <vertAlign val="subscript"/>
        <sz val="10"/>
        <rFont val="Arial"/>
        <family val="2"/>
        <charset val="204"/>
      </rPr>
      <t xml:space="preserve">A </t>
    </r>
    <r>
      <rPr>
        <sz val="10"/>
        <rFont val="Arial"/>
        <charset val="204"/>
      </rPr>
      <t xml:space="preserve">= </t>
    </r>
  </si>
  <si>
    <r>
      <t>SOC</t>
    </r>
    <r>
      <rPr>
        <vertAlign val="subscript"/>
        <sz val="10"/>
        <rFont val="Arial"/>
        <family val="2"/>
        <charset val="204"/>
      </rPr>
      <t xml:space="preserve">R </t>
    </r>
    <r>
      <rPr>
        <sz val="10"/>
        <rFont val="Arial"/>
        <charset val="204"/>
      </rPr>
      <t xml:space="preserve">= </t>
    </r>
  </si>
  <si>
    <t>Resulting LUC</t>
  </si>
  <si>
    <r>
      <t>e</t>
    </r>
    <r>
      <rPr>
        <b/>
        <vertAlign val="subscript"/>
        <sz val="10"/>
        <rFont val="Arial"/>
        <family val="2"/>
        <charset val="204"/>
      </rPr>
      <t xml:space="preserve">l </t>
    </r>
    <r>
      <rPr>
        <b/>
        <sz val="10"/>
        <rFont val="Arial"/>
        <family val="2"/>
        <charset val="204"/>
      </rPr>
      <t xml:space="preserve">= </t>
    </r>
  </si>
  <si>
    <r>
      <t>e</t>
    </r>
    <r>
      <rPr>
        <b/>
        <vertAlign val="subscript"/>
        <sz val="11"/>
        <rFont val="Arial"/>
        <family val="2"/>
        <charset val="204"/>
      </rPr>
      <t xml:space="preserve">l </t>
    </r>
    <r>
      <rPr>
        <b/>
        <sz val="11"/>
        <rFont val="Arial"/>
        <family val="2"/>
        <charset val="204"/>
      </rPr>
      <t xml:space="preserve">= </t>
    </r>
  </si>
  <si>
    <r>
      <t xml:space="preserve"> ton eq. CO</t>
    </r>
    <r>
      <rPr>
        <vertAlign val="subscript"/>
        <sz val="10"/>
        <rFont val="Arial"/>
        <family val="2"/>
        <charset val="204"/>
      </rPr>
      <t>2</t>
    </r>
    <r>
      <rPr>
        <sz val="10"/>
        <rFont val="Arial"/>
        <charset val="204"/>
      </rPr>
      <t xml:space="preserve"> / ha / an</t>
    </r>
  </si>
  <si>
    <r>
      <t>e</t>
    </r>
    <r>
      <rPr>
        <b/>
        <vertAlign val="subscript"/>
        <sz val="10"/>
        <rFont val="Arial"/>
        <family val="2"/>
        <charset val="204"/>
      </rPr>
      <t xml:space="preserve">sca </t>
    </r>
    <r>
      <rPr>
        <b/>
        <sz val="10"/>
        <rFont val="Arial"/>
        <family val="2"/>
        <charset val="204"/>
      </rPr>
      <t xml:space="preserve">= </t>
    </r>
  </si>
  <si>
    <t>Resulting carbon stock in vegetation</t>
  </si>
  <si>
    <t>Resulting carbon stock in soils</t>
  </si>
  <si>
    <r>
      <t>C</t>
    </r>
    <r>
      <rPr>
        <vertAlign val="subscript"/>
        <sz val="10"/>
        <rFont val="Arial"/>
        <family val="2"/>
        <charset val="204"/>
      </rPr>
      <t>veg-R</t>
    </r>
    <r>
      <rPr>
        <sz val="10"/>
        <rFont val="Arial"/>
        <charset val="204"/>
      </rPr>
      <t>=</t>
    </r>
  </si>
  <si>
    <r>
      <t>C</t>
    </r>
    <r>
      <rPr>
        <vertAlign val="subscript"/>
        <sz val="10"/>
        <rFont val="Arial"/>
        <family val="2"/>
        <charset val="204"/>
      </rPr>
      <t>veg-A</t>
    </r>
    <r>
      <rPr>
        <sz val="10"/>
        <rFont val="Arial"/>
        <charset val="204"/>
      </rPr>
      <t>=</t>
    </r>
  </si>
  <si>
    <t>Resulting land Use Change</t>
  </si>
  <si>
    <t xml:space="preserve">LUC : value that will be used in calculations : </t>
  </si>
  <si>
    <r>
      <t>ton eq. CO</t>
    </r>
    <r>
      <rPr>
        <b/>
        <vertAlign val="subscript"/>
        <sz val="10"/>
        <color indexed="62"/>
        <rFont val="Arial"/>
        <family val="2"/>
        <charset val="204"/>
      </rPr>
      <t>2</t>
    </r>
    <r>
      <rPr>
        <b/>
        <sz val="10"/>
        <color indexed="62"/>
        <rFont val="Arial"/>
        <family val="2"/>
        <charset val="204"/>
      </rPr>
      <t xml:space="preserve"> ha</t>
    </r>
    <r>
      <rPr>
        <b/>
        <vertAlign val="superscript"/>
        <sz val="10"/>
        <color indexed="62"/>
        <rFont val="Arial"/>
        <family val="2"/>
        <charset val="204"/>
      </rPr>
      <t>-1</t>
    </r>
    <r>
      <rPr>
        <b/>
        <sz val="10"/>
        <color indexed="62"/>
        <rFont val="Arial"/>
        <family val="2"/>
        <charset val="204"/>
      </rPr>
      <t xml:space="preserve"> year</t>
    </r>
    <r>
      <rPr>
        <b/>
        <vertAlign val="superscript"/>
        <sz val="10"/>
        <color indexed="62"/>
        <rFont val="Arial"/>
        <family val="2"/>
        <charset val="204"/>
      </rPr>
      <t>-1</t>
    </r>
  </si>
  <si>
    <t>Reference management practices</t>
  </si>
  <si>
    <t>The reference practices shall be the practices in use on January 2008 or 20 years before the raw material was obtained, whichever was the later.</t>
  </si>
  <si>
    <t>The default calculation are based on the calculation of the Commission Decision, with the following assumptions</t>
  </si>
  <si>
    <t>Resulting soil carbon accumulation</t>
  </si>
  <si>
    <t xml:space="preserve">This sheet, similar to the LUC sheet, calculates the carbon stock accumulation thanks to improved agricultural management. </t>
  </si>
  <si>
    <r>
      <t>kg NH</t>
    </r>
    <r>
      <rPr>
        <b/>
        <vertAlign val="subscript"/>
        <sz val="10"/>
        <rFont val="Arial"/>
        <family val="2"/>
        <charset val="204"/>
      </rPr>
      <t>3</t>
    </r>
    <r>
      <rPr>
        <b/>
        <sz val="10"/>
        <rFont val="Arial"/>
        <family val="2"/>
        <charset val="204"/>
      </rPr>
      <t>_N/ha/year</t>
    </r>
  </si>
  <si>
    <t>kg/ha/year</t>
  </si>
  <si>
    <r>
      <t>kg N</t>
    </r>
    <r>
      <rPr>
        <b/>
        <vertAlign val="subscript"/>
        <sz val="10"/>
        <rFont val="Arial"/>
        <family val="2"/>
        <charset val="204"/>
      </rPr>
      <t>2</t>
    </r>
    <r>
      <rPr>
        <b/>
        <sz val="10"/>
        <rFont val="Arial"/>
        <family val="2"/>
        <charset val="204"/>
      </rPr>
      <t>O/ha/year</t>
    </r>
  </si>
  <si>
    <t>Use of this Excel file to show compliance with RED / FQD sustainability criteria on GHG emission savings</t>
  </si>
  <si>
    <t xml:space="preserve"> 1. The BioGrace calculation rules must be followed. These rules are included in the zip file in which this tool is downloaded from www.BioGrace.net.</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</si>
  <si>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NG boiler</t>
    </r>
  </si>
  <si>
    <t>Steam (from NG boiler)</t>
  </si>
  <si>
    <t>Natural gas input / MJ steam</t>
  </si>
  <si>
    <t>Electricity input / MJ steam</t>
  </si>
  <si>
    <t>Emissions from NG boiler</t>
  </si>
  <si>
    <r>
      <t>CH</t>
    </r>
    <r>
      <rPr>
        <vertAlign val="subscript"/>
        <sz val="10"/>
        <rFont val="Verdana"/>
        <family val="2"/>
        <charset val="204"/>
      </rPr>
      <t>4</t>
    </r>
    <r>
      <rPr>
        <sz val="10"/>
        <rFont val="Verdana"/>
        <charset val="204"/>
      </rPr>
      <t xml:space="preserve"> and N</t>
    </r>
    <r>
      <rPr>
        <vertAlign val="subscript"/>
        <sz val="10"/>
        <rFont val="Verdana"/>
        <family val="2"/>
        <charset val="204"/>
      </rPr>
      <t>2</t>
    </r>
    <r>
      <rPr>
        <sz val="10"/>
        <rFont val="Verdana"/>
        <charset val="204"/>
      </rPr>
      <t>O emissions from NG CHP</t>
    </r>
  </si>
  <si>
    <t>Calculated percentages might not be the same as the RED Annex V default values</t>
  </si>
  <si>
    <t>If model : name of the model, who runned it,  main data sources, date of the modeling, etc</t>
  </si>
  <si>
    <t>For all : details about representaviness, proof of scientific validity, etc</t>
  </si>
  <si>
    <t>Please, fill these data with you actual value</t>
  </si>
  <si>
    <t>Please note that, as far as such methods are not based on measurements, they shall take into account climate, soil type, land cover, land management and inputs.</t>
  </si>
  <si>
    <t>If the type of vegetation changes between reference and actual land use, please refer to the Land use Change (LUC) Excelsheet.</t>
  </si>
  <si>
    <t>Temperate moist</t>
  </si>
  <si>
    <t>The guidelines published by the Commission (see  above for the link) authorises the use of actual data for Soil Organic Carbon.</t>
  </si>
  <si>
    <t>In order to use them, please provide the following information:</t>
  </si>
  <si>
    <r>
      <t>SOC</t>
    </r>
    <r>
      <rPr>
        <vertAlign val="subscript"/>
        <sz val="10"/>
        <rFont val="Arial"/>
        <family val="2"/>
        <charset val="204"/>
      </rPr>
      <t>i</t>
    </r>
    <r>
      <rPr>
        <sz val="10"/>
        <rFont val="Arial"/>
        <charset val="204"/>
      </rPr>
      <t xml:space="preserve"> = SOC</t>
    </r>
    <r>
      <rPr>
        <vertAlign val="subscript"/>
        <sz val="10"/>
        <rFont val="Arial"/>
        <family val="2"/>
        <charset val="204"/>
      </rPr>
      <t>ST</t>
    </r>
    <r>
      <rPr>
        <sz val="10"/>
        <rFont val="Arial"/>
        <charset val="204"/>
      </rPr>
      <t xml:space="preserve"> * F</t>
    </r>
    <r>
      <rPr>
        <vertAlign val="subscript"/>
        <sz val="10"/>
        <rFont val="Arial"/>
        <family val="2"/>
        <charset val="204"/>
      </rPr>
      <t>LU</t>
    </r>
    <r>
      <rPr>
        <sz val="10"/>
        <rFont val="Arial"/>
        <charset val="204"/>
      </rPr>
      <t xml:space="preserve"> * F</t>
    </r>
    <r>
      <rPr>
        <vertAlign val="subscript"/>
        <sz val="10"/>
        <rFont val="Arial"/>
        <family val="2"/>
        <charset val="204"/>
      </rPr>
      <t>MG</t>
    </r>
    <r>
      <rPr>
        <sz val="10"/>
        <rFont val="Arial"/>
        <charset val="204"/>
      </rPr>
      <t xml:space="preserve"> * F</t>
    </r>
    <r>
      <rPr>
        <vertAlign val="subscript"/>
        <sz val="10"/>
        <rFont val="Arial"/>
        <family val="2"/>
        <charset val="204"/>
      </rPr>
      <t xml:space="preserve">I </t>
    </r>
  </si>
  <si>
    <r>
      <t>SOC</t>
    </r>
    <r>
      <rPr>
        <vertAlign val="subscript"/>
        <sz val="10"/>
        <rFont val="Arial"/>
        <family val="2"/>
        <charset val="204"/>
      </rPr>
      <t>A</t>
    </r>
    <r>
      <rPr>
        <sz val="10"/>
        <rFont val="Arial"/>
        <charset val="204"/>
      </rPr>
      <t xml:space="preserve"> and SOC</t>
    </r>
    <r>
      <rPr>
        <vertAlign val="subscript"/>
        <sz val="10"/>
        <rFont val="Arial"/>
        <family val="2"/>
        <charset val="204"/>
      </rPr>
      <t>R</t>
    </r>
    <r>
      <rPr>
        <sz val="10"/>
        <rFont val="Arial"/>
        <charset val="204"/>
      </rPr>
      <t xml:space="preserve"> are calculated with the following equation: </t>
    </r>
  </si>
  <si>
    <r>
      <t>SOC</t>
    </r>
    <r>
      <rPr>
        <vertAlign val="subscript"/>
        <sz val="10"/>
        <rFont val="Arial"/>
        <family val="2"/>
        <charset val="204"/>
      </rPr>
      <t>A</t>
    </r>
  </si>
  <si>
    <r>
      <t>SOC</t>
    </r>
    <r>
      <rPr>
        <vertAlign val="subscript"/>
        <sz val="10"/>
        <rFont val="Arial"/>
        <family val="2"/>
        <charset val="204"/>
      </rPr>
      <t>R</t>
    </r>
  </si>
  <si>
    <r>
      <t xml:space="preserve">kg </t>
    </r>
    <r>
      <rPr>
        <vertAlign val="subscript"/>
        <sz val="10"/>
        <rFont val="Arial"/>
        <family val="2"/>
        <charset val="204"/>
      </rPr>
      <t>fm</t>
    </r>
    <r>
      <rPr>
        <sz val="10"/>
        <rFont val="Arial"/>
        <charset val="204"/>
      </rPr>
      <t>/ha/year</t>
    </r>
  </si>
  <si>
    <r>
      <t xml:space="preserve">kg </t>
    </r>
    <r>
      <rPr>
        <vertAlign val="subscript"/>
        <sz val="10"/>
        <rFont val="Arial"/>
        <family val="2"/>
        <charset val="204"/>
      </rPr>
      <t>dm</t>
    </r>
    <r>
      <rPr>
        <sz val="10"/>
        <rFont val="Arial"/>
        <charset val="204"/>
      </rPr>
      <t>/ha/year</t>
    </r>
  </si>
  <si>
    <t>kg N/ha/year</t>
  </si>
  <si>
    <r>
      <t>kg N</t>
    </r>
    <r>
      <rPr>
        <vertAlign val="subscript"/>
        <sz val="10"/>
        <rFont val="Arial"/>
        <family val="2"/>
        <charset val="204"/>
      </rPr>
      <t>2</t>
    </r>
    <r>
      <rPr>
        <sz val="10"/>
        <rFont val="Arial"/>
        <charset val="204"/>
      </rPr>
      <t>O_N/ha/year</t>
    </r>
  </si>
  <si>
    <r>
      <t>kg N</t>
    </r>
    <r>
      <rPr>
        <vertAlign val="subscript"/>
        <sz val="10"/>
        <rFont val="Arial"/>
        <family val="2"/>
        <charset val="204"/>
      </rPr>
      <t>2</t>
    </r>
    <r>
      <rPr>
        <sz val="10"/>
        <rFont val="Arial"/>
        <charset val="204"/>
      </rPr>
      <t>O/ha/year</t>
    </r>
  </si>
  <si>
    <r>
      <t>kg NO</t>
    </r>
    <r>
      <rPr>
        <b/>
        <vertAlign val="subscript"/>
        <sz val="10"/>
        <rFont val="Arial"/>
        <family val="2"/>
        <charset val="204"/>
      </rPr>
      <t>3</t>
    </r>
    <r>
      <rPr>
        <b/>
        <sz val="10"/>
        <rFont val="Arial"/>
        <family val="2"/>
        <charset val="204"/>
      </rPr>
      <t>_N/ha/year</t>
    </r>
  </si>
  <si>
    <r>
      <t xml:space="preserve"> In cases where the carbon stock accumulates over more than one year, the value attributed to CS</t>
    </r>
    <r>
      <rPr>
        <vertAlign val="subscript"/>
        <sz val="10"/>
        <rFont val="Arial"/>
        <family val="2"/>
        <charset val="204"/>
      </rPr>
      <t>A</t>
    </r>
    <r>
      <rPr>
        <sz val="10"/>
        <rFont val="Arial"/>
        <charset val="204"/>
      </rPr>
      <t xml:space="preserve"> shall be the estimated stock per unit area after 20 years</t>
    </r>
  </si>
  <si>
    <t>Above and below ground vegetation carbon stock [ton C / ha]</t>
  </si>
  <si>
    <t>Soil organic carbon [ton C / ha]</t>
  </si>
  <si>
    <t>Land use factor reflecting the difference in soil organic carbon associated witht he type of land use campared to the standard organic carbon [-]</t>
  </si>
  <si>
    <t>Management factor reflecting the difference in soil organic carbon associated with the principle management practive compared to the standard soil organic carbon [-]</t>
  </si>
  <si>
    <t>Input factor reflecting the difference in soil organic carbon associated with different levels of carbon input to soil compared to the standard soil organic carbon [-]</t>
  </si>
  <si>
    <t>Warm temperature moist</t>
  </si>
  <si>
    <t>Vegetation/crop (land use)</t>
  </si>
  <si>
    <t>Cultivated/cropland</t>
  </si>
  <si>
    <t>Native forest (&gt;30% canopy cover)</t>
  </si>
  <si>
    <t>Ecological zone (if relevant)</t>
  </si>
  <si>
    <t>Oceanic forest</t>
  </si>
  <si>
    <t>Continent (if relevant)</t>
  </si>
  <si>
    <t>Europe</t>
  </si>
  <si>
    <t>High activity clay</t>
  </si>
  <si>
    <r>
      <t>In this Excel file, the results as calculated in g CO</t>
    </r>
    <r>
      <rPr>
        <vertAlign val="subscript"/>
        <sz val="10"/>
        <rFont val="Arial"/>
        <family val="2"/>
        <charset val="204"/>
      </rPr>
      <t>2,eq</t>
    </r>
    <r>
      <rPr>
        <sz val="10"/>
        <rFont val="Arial"/>
        <charset val="204"/>
      </rPr>
      <t xml:space="preserve"> / MJ</t>
    </r>
    <r>
      <rPr>
        <vertAlign val="subscript"/>
        <sz val="10"/>
        <rFont val="Arial"/>
        <family val="2"/>
        <charset val="204"/>
      </rPr>
      <t xml:space="preserve">biofuel </t>
    </r>
    <r>
      <rPr>
        <sz val="10"/>
        <rFont val="Arial"/>
        <charset val="204"/>
      </rPr>
      <t>for "cultivation", "transport" and "processing" are the same as the results in RED Annex V.D.</t>
    </r>
  </si>
  <si>
    <t>CNG</t>
  </si>
  <si>
    <t>Compressed Natural Gas</t>
  </si>
  <si>
    <t>No GHG emissions or fossil energy input because it is a residue</t>
  </si>
  <si>
    <r>
      <t>MJ / MJ</t>
    </r>
    <r>
      <rPr>
        <b/>
        <vertAlign val="subscript"/>
        <sz val="10"/>
        <rFont val="Arial"/>
        <family val="2"/>
        <charset val="204"/>
      </rPr>
      <t>Steam</t>
    </r>
  </si>
  <si>
    <t>Put "yes"when the crop is irrigated OR when rainfall in rainy season (1) minus potencial evaporation is higher than soil water holding capacity. If not known, the average nitrate leakage will be applied.</t>
  </si>
  <si>
    <t>Steam (from Lignite CHP)</t>
  </si>
  <si>
    <r>
      <t>Calculation of Improved Agricultural Management  (</t>
    </r>
    <r>
      <rPr>
        <b/>
        <sz val="20"/>
        <color indexed="9"/>
        <rFont val="Arial"/>
        <family val="2"/>
        <charset val="204"/>
      </rPr>
      <t>e</t>
    </r>
    <r>
      <rPr>
        <b/>
        <sz val="14"/>
        <color indexed="9"/>
        <rFont val="Arial"/>
        <family val="2"/>
        <charset val="204"/>
      </rPr>
      <t>sca)</t>
    </r>
  </si>
  <si>
    <t>Determine using table 3  of Commission Decision</t>
  </si>
  <si>
    <t xml:space="preserve">To avoid double counting, please use this calculation sheet only if no Land Use Changes (LUC) are occuring. Otherwise, prefer using the LUC Excelsheet. </t>
  </si>
  <si>
    <t xml:space="preserve"> - the area concerned is 1 hectare. As a result, the factor A (ha / area concerned) equals 1.</t>
  </si>
  <si>
    <t xml:space="preserve"> - the soils in question are mineral soils. For organic soils, appropriate methods shall be used (see paragraph 4.2 of the Commission Decision).</t>
  </si>
  <si>
    <r>
      <t>CS</t>
    </r>
    <r>
      <rPr>
        <vertAlign val="subscript"/>
        <sz val="10"/>
        <rFont val="Arial"/>
        <family val="2"/>
        <charset val="204"/>
      </rPr>
      <t>A</t>
    </r>
    <r>
      <rPr>
        <sz val="10"/>
        <rFont val="Arial"/>
        <charset val="204"/>
      </rPr>
      <t xml:space="preserve"> and CS</t>
    </r>
    <r>
      <rPr>
        <vertAlign val="subscript"/>
        <sz val="10"/>
        <rFont val="Arial"/>
        <family val="2"/>
        <charset val="204"/>
      </rPr>
      <t>R</t>
    </r>
    <r>
      <rPr>
        <sz val="10"/>
        <rFont val="Arial"/>
        <charset val="204"/>
      </rPr>
      <t xml:space="preserve"> are calculated with the following equation: </t>
    </r>
  </si>
  <si>
    <t>Full-tillage</t>
  </si>
  <si>
    <t>High without manure</t>
  </si>
  <si>
    <t>No input</t>
  </si>
  <si>
    <t>Look up in Tables 2 - 8 of Commission Decision</t>
  </si>
  <si>
    <t>Sunflower</t>
  </si>
  <si>
    <t>The guidelines published by the Commission (see above for the link) authorises the use of actual data for Soil Organic Carbon.</t>
  </si>
  <si>
    <r>
      <t>It is also possible to use its own data for other parameter like the carbon stock in vegetation (C</t>
    </r>
    <r>
      <rPr>
        <vertAlign val="subscript"/>
        <sz val="10"/>
        <rFont val="Arial"/>
        <family val="2"/>
        <charset val="204"/>
      </rPr>
      <t>veg</t>
    </r>
    <r>
      <rPr>
        <sz val="10"/>
        <rFont val="Arial"/>
        <charset val="204"/>
      </rPr>
      <t>)</t>
    </r>
  </si>
  <si>
    <t>If model : name of the model, who runned it, main data sources, date of the modeling, etc</t>
  </si>
  <si>
    <t xml:space="preserve">Example :   </t>
  </si>
  <si>
    <t>For all : details about representativeness, proof of scientific validity, etc</t>
  </si>
  <si>
    <t>We used version 2c of March 2007 (file WTT_App_1_010307.pdf). Soon, a new version 3 of the WTT Appendix 1 is expected to become public.</t>
  </si>
  <si>
    <r>
      <t>F</t>
    </r>
    <r>
      <rPr>
        <vertAlign val="subscript"/>
        <sz val="10"/>
        <rFont val="Arial"/>
        <family val="2"/>
        <charset val="204"/>
      </rPr>
      <t>I</t>
    </r>
  </si>
  <si>
    <t>Methane</t>
  </si>
  <si>
    <t>Resulting carbon stock</t>
  </si>
  <si>
    <r>
      <t>This sheet calculates the carbon stocks of the actual land use (CS</t>
    </r>
    <r>
      <rPr>
        <vertAlign val="subscript"/>
        <sz val="10"/>
        <rFont val="Arial"/>
        <family val="2"/>
        <charset val="204"/>
      </rPr>
      <t>A</t>
    </r>
    <r>
      <rPr>
        <sz val="10"/>
        <rFont val="Arial"/>
        <charset val="204"/>
      </rPr>
      <t>) and of the reference land use (CS</t>
    </r>
    <r>
      <rPr>
        <vertAlign val="subscript"/>
        <sz val="10"/>
        <rFont val="Arial"/>
        <family val="2"/>
        <charset val="204"/>
      </rPr>
      <t>R</t>
    </r>
    <r>
      <rPr>
        <sz val="10"/>
        <rFont val="Arial"/>
        <charset val="204"/>
      </rPr>
      <t>)</t>
    </r>
  </si>
  <si>
    <r>
      <t>CS</t>
    </r>
    <r>
      <rPr>
        <vertAlign val="subscript"/>
        <sz val="10"/>
        <rFont val="Arial"/>
        <family val="2"/>
        <charset val="204"/>
      </rPr>
      <t>A</t>
    </r>
    <r>
      <rPr>
        <sz val="10"/>
        <rFont val="Arial"/>
        <charset val="204"/>
      </rPr>
      <t xml:space="preserve"> = </t>
    </r>
  </si>
  <si>
    <r>
      <t>CS</t>
    </r>
    <r>
      <rPr>
        <vertAlign val="subscript"/>
        <sz val="10"/>
        <rFont val="Arial"/>
        <family val="2"/>
        <charset val="204"/>
      </rPr>
      <t>R</t>
    </r>
    <r>
      <rPr>
        <sz val="10"/>
        <rFont val="Arial"/>
        <charset val="204"/>
      </rPr>
      <t xml:space="preserve"> = </t>
    </r>
  </si>
  <si>
    <t>Calculation of direct land use change (LUC)</t>
  </si>
  <si>
    <t xml:space="preserve">The calculations make use of guidelines as published in the  </t>
  </si>
  <si>
    <t>Commission Decision of 10 June 2010 on guidelines for the calculation of land use carbon stocks for the purpose of Annex V of Directive 2009/28/EC</t>
  </si>
  <si>
    <t>(Official Journal of the European Union, 17.6.2010, L151/19), which is further referred to as "the Commission Decision".</t>
  </si>
  <si>
    <t>- In the case of soybeans, in the JEC calculations the nitrogen content of below ground biomass was considered to be 0.074 kg N/(kg dry matter) instead of 0.008 kg N/(kg dry matter) considered in IPCC. Furthermore, the factor EF1 was considered to be 0.0095 instead of 0.01 considered by IPCC. In this tool, the values consdiered by the IPCC methods are retained.</t>
  </si>
  <si>
    <t>Carbon stock in mineral soil</t>
  </si>
  <si>
    <t>Climate region</t>
  </si>
  <si>
    <t>Determine using paragraph 6.1 of Commission Decision</t>
  </si>
  <si>
    <t>Soil type</t>
  </si>
  <si>
    <t>Determine using paragraph 6.2 of Commission Decision</t>
  </si>
  <si>
    <r>
      <t>SOC</t>
    </r>
    <r>
      <rPr>
        <vertAlign val="subscript"/>
        <sz val="10"/>
        <rFont val="Arial"/>
        <family val="2"/>
        <charset val="204"/>
      </rPr>
      <t>ST</t>
    </r>
  </si>
  <si>
    <t>Loop up in Table 1 of Commission Decision, using climate region and soil type above</t>
  </si>
  <si>
    <t>Soil management</t>
  </si>
  <si>
    <t>No till</t>
  </si>
  <si>
    <t>n/a</t>
  </si>
  <si>
    <t>Input</t>
  </si>
  <si>
    <r>
      <t>F</t>
    </r>
    <r>
      <rPr>
        <vertAlign val="subscript"/>
        <sz val="10"/>
        <rFont val="Arial"/>
        <family val="2"/>
        <charset val="204"/>
      </rPr>
      <t>LU</t>
    </r>
  </si>
  <si>
    <r>
      <t>F</t>
    </r>
    <r>
      <rPr>
        <vertAlign val="subscript"/>
        <sz val="10"/>
        <rFont val="Arial"/>
        <family val="2"/>
        <charset val="204"/>
      </rPr>
      <t>MG</t>
    </r>
  </si>
  <si>
    <t>Waste vegetable / animal oil</t>
  </si>
  <si>
    <t>Version 4 - Public</t>
  </si>
  <si>
    <t xml:space="preserve"> 2. Actual calculations must be made using the option "track changes" turned on (made possible by the orange-coloured button on each sheet presenting a biofuel production pathway).
     This will allow an auditor that will check the calculations to easily find the actual input numbers that were used for the calculation. 
     An auditor is allowed to refuse to check the calculation when it was made without the "track changes" option turned on.</t>
  </si>
  <si>
    <t>Example 3 (N-fertiliser from standard values)</t>
  </si>
  <si>
    <t xml:space="preserve"> (refined)</t>
  </si>
  <si>
    <t>The carbon stock per unit area associated with the reference land use (measured as mass of carbon per unit area, including both soil and vegetation) [ton C / ha]</t>
  </si>
  <si>
    <t>The carbon stock per unit area associated with the actual land use (measured as mass of carbon per unit area, including both soil and vegetation) [ton C / ha]</t>
  </si>
  <si>
    <t>NG Boiler</t>
  </si>
  <si>
    <t>Lignite CHP</t>
  </si>
  <si>
    <t>Natural Gas CHP</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</si>
  <si>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NG CHP</t>
    </r>
  </si>
  <si>
    <t>NG input per MJ steam</t>
  </si>
  <si>
    <t xml:space="preserve"> (at 0% water,</t>
  </si>
  <si>
    <t>unless otherwise stated)</t>
  </si>
  <si>
    <t>DDGS (10 wt% moisture)</t>
  </si>
  <si>
    <t>HFO for maritime transport</t>
  </si>
  <si>
    <t>Electricity (Straw ST)</t>
  </si>
  <si>
    <t>Definitions (taken from the Commission Decision and/or the Directive)</t>
  </si>
  <si>
    <r>
      <t>CS</t>
    </r>
    <r>
      <rPr>
        <vertAlign val="subscript"/>
        <sz val="10"/>
        <rFont val="Arial"/>
        <family val="2"/>
        <charset val="204"/>
      </rPr>
      <t>R</t>
    </r>
  </si>
  <si>
    <t xml:space="preserve">: </t>
  </si>
  <si>
    <r>
      <t>CS</t>
    </r>
    <r>
      <rPr>
        <vertAlign val="subscript"/>
        <sz val="10"/>
        <rFont val="Arial"/>
        <family val="2"/>
        <charset val="204"/>
      </rPr>
      <t>A</t>
    </r>
  </si>
  <si>
    <t xml:space="preserve">  or when the crop reaches maturity, whichever the earlier.</t>
  </si>
  <si>
    <t xml:space="preserve">Reference land use </t>
  </si>
  <si>
    <t>:</t>
  </si>
  <si>
    <t>The reference land use shall be the land use in January 2008 or 20 years before the raw material was obtained, whichever was the later.</t>
  </si>
  <si>
    <t>Steam (from NG CHP)</t>
  </si>
  <si>
    <t>Global Warming Potentials (GWP's)</t>
  </si>
  <si>
    <t>Example 1</t>
  </si>
  <si>
    <t xml:space="preserve"> Sugar beet</t>
  </si>
  <si>
    <t xml:space="preserve">     - inputs:</t>
  </si>
  <si>
    <t>Amount in BioGrace</t>
  </si>
  <si>
    <r>
      <t xml:space="preserve">      </t>
    </r>
    <r>
      <rPr>
        <b/>
        <u/>
        <sz val="14"/>
        <rFont val="Arial"/>
        <family val="2"/>
        <charset val="204"/>
      </rPr>
      <t>Input</t>
    </r>
  </si>
  <si>
    <t>CHP</t>
  </si>
  <si>
    <t>Combined Heat and Power</t>
  </si>
  <si>
    <t>Dried Distillers Grains with Solubles</t>
  </si>
  <si>
    <t>Fresh Fruit Bunches</t>
  </si>
  <si>
    <t>NG</t>
  </si>
  <si>
    <t>Natural Gas</t>
  </si>
  <si>
    <t>ST</t>
  </si>
  <si>
    <t>Steam Turbine</t>
  </si>
  <si>
    <t xml:space="preserve"> 2. As non-rounded numbers, in the same column G shown in black and aligned to the right of column G. These values are not listed in the RED. They were calculated by taking the</t>
  </si>
  <si>
    <t>results that are shown in the list of input data (see data source 1 below) and multiplying by a factor 1.4 for the processing steps. These values were added as to increase the transparency of the JEC calculations; only by showing numbers with two decimals it can be shown that the JEC calculations can be reproduced with high accuracy. Of course, this exercise can also be done with the typical values (so without the factor of 1.4).</t>
  </si>
  <si>
    <t>In all Excel calculation sheets, a choice can be made between these two options, by clicking one of the options in the yellow-coloured box at the top right of the sheet.</t>
  </si>
  <si>
    <t>Vinasse</t>
  </si>
  <si>
    <t>Filter mud cake</t>
  </si>
  <si>
    <t>Tanker truck MB2218 for vinasse transport</t>
  </si>
  <si>
    <t>Tanker truck with water cannons for vinasse transport</t>
  </si>
  <si>
    <t>Dumpster truck MB2213 for filter mud transport</t>
  </si>
  <si>
    <t>GWP</t>
  </si>
  <si>
    <r>
      <t>gCO</t>
    </r>
    <r>
      <rPr>
        <vertAlign val="subscript"/>
        <sz val="10"/>
        <color indexed="22"/>
        <rFont val="Verdana"/>
        <family val="2"/>
        <charset val="204"/>
      </rPr>
      <t xml:space="preserve">2,eq </t>
    </r>
    <r>
      <rPr>
        <sz val="10"/>
        <color indexed="22"/>
        <rFont val="Verdana"/>
        <family val="2"/>
        <charset val="204"/>
      </rPr>
      <t>/ g</t>
    </r>
  </si>
  <si>
    <t>Residues (feedstock or input)</t>
  </si>
  <si>
    <t>N-fertiliser (kg N)</t>
  </si>
  <si>
    <r>
      <t>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-fertiliser (kg 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t>
    </r>
  </si>
  <si>
    <r>
      <t>K</t>
    </r>
    <r>
      <rPr>
        <vertAlign val="subscript"/>
        <sz val="10"/>
        <rFont val="Verdana"/>
        <family val="2"/>
        <charset val="204"/>
      </rPr>
      <t>2</t>
    </r>
    <r>
      <rPr>
        <sz val="10"/>
        <rFont val="Verdana"/>
        <charset val="204"/>
      </rPr>
      <t>O-fertiliser (kg K</t>
    </r>
    <r>
      <rPr>
        <vertAlign val="subscript"/>
        <sz val="10"/>
        <rFont val="Verdana"/>
        <family val="2"/>
        <charset val="204"/>
      </rPr>
      <t>2</t>
    </r>
    <r>
      <rPr>
        <sz val="10"/>
        <rFont val="Verdana"/>
        <charset val="204"/>
      </rPr>
      <t>O)</t>
    </r>
  </si>
  <si>
    <t>CaO-fertiliser (kg CaO)</t>
  </si>
  <si>
    <t>Fuels- liquids (also conversion inputs)</t>
  </si>
  <si>
    <r>
      <t>Phosphoric acid (H</t>
    </r>
    <r>
      <rPr>
        <vertAlign val="subscript"/>
        <sz val="10"/>
        <rFont val="Verdana"/>
        <family val="2"/>
        <charset val="204"/>
      </rPr>
      <t>3</t>
    </r>
    <r>
      <rPr>
        <sz val="10"/>
        <rFont val="Verdana"/>
        <charset val="204"/>
      </rPr>
      <t>PO</t>
    </r>
    <r>
      <rPr>
        <vertAlign val="subscript"/>
        <sz val="10"/>
        <rFont val="Verdana"/>
        <family val="2"/>
        <charset val="204"/>
      </rPr>
      <t>4</t>
    </r>
    <r>
      <rPr>
        <sz val="10"/>
        <rFont val="Verdana"/>
        <charset val="204"/>
      </rPr>
      <t>)</t>
    </r>
  </si>
  <si>
    <t>Hydrochloric acid (HCl)</t>
  </si>
  <si>
    <t>Sodium hydroxide (NaOH)</t>
  </si>
  <si>
    <t>Electricity (NG CCGT)</t>
  </si>
  <si>
    <t>Electricity (Lignite ST)</t>
  </si>
  <si>
    <r>
      <t>CH</t>
    </r>
    <r>
      <rPr>
        <vertAlign val="subscript"/>
        <sz val="10"/>
        <rFont val="Verdana"/>
        <family val="2"/>
        <charset val="204"/>
      </rPr>
      <t>4</t>
    </r>
    <r>
      <rPr>
        <sz val="10"/>
        <rFont val="Verdana"/>
        <charset val="204"/>
      </rPr>
      <t xml:space="preserve"> and N</t>
    </r>
    <r>
      <rPr>
        <vertAlign val="subscript"/>
        <sz val="10"/>
        <rFont val="Verdana"/>
        <family val="2"/>
        <charset val="204"/>
      </rPr>
      <t>2</t>
    </r>
    <r>
      <rPr>
        <sz val="10"/>
        <rFont val="Verdana"/>
        <charset val="204"/>
      </rPr>
      <t>O emissions from NG boiler</t>
    </r>
  </si>
  <si>
    <r>
      <t>Phosphoric acid (H</t>
    </r>
    <r>
      <rPr>
        <vertAlign val="subscript"/>
        <sz val="10"/>
        <rFont val="Arial"/>
        <family val="2"/>
        <charset val="204"/>
      </rPr>
      <t>3</t>
    </r>
    <r>
      <rPr>
        <sz val="10"/>
        <rFont val="Arial"/>
        <charset val="204"/>
      </rPr>
      <t>PO</t>
    </r>
    <r>
      <rPr>
        <vertAlign val="subscript"/>
        <sz val="10"/>
        <rFont val="Arial"/>
        <family val="2"/>
        <charset val="204"/>
      </rPr>
      <t>4</t>
    </r>
    <r>
      <rPr>
        <sz val="10"/>
        <rFont val="Arial"/>
        <charset val="204"/>
      </rPr>
      <t>)</t>
    </r>
  </si>
  <si>
    <t>MSW</t>
  </si>
  <si>
    <t>Municipal Solid Waste</t>
  </si>
  <si>
    <r>
      <t>CS</t>
    </r>
    <r>
      <rPr>
        <vertAlign val="subscript"/>
        <sz val="10"/>
        <rFont val="Arial"/>
        <family val="2"/>
        <charset val="204"/>
      </rPr>
      <t>i</t>
    </r>
    <r>
      <rPr>
        <sz val="10"/>
        <rFont val="Arial"/>
        <charset val="204"/>
      </rPr>
      <t xml:space="preserve"> = C</t>
    </r>
    <r>
      <rPr>
        <vertAlign val="subscript"/>
        <sz val="10"/>
        <rFont val="Arial"/>
        <family val="2"/>
        <charset val="204"/>
      </rPr>
      <t>VEG</t>
    </r>
    <r>
      <rPr>
        <sz val="10"/>
        <rFont val="Arial"/>
        <charset val="204"/>
      </rPr>
      <t xml:space="preserve"> + SOC</t>
    </r>
    <r>
      <rPr>
        <vertAlign val="subscript"/>
        <sz val="10"/>
        <rFont val="Arial"/>
        <family val="2"/>
        <charset val="204"/>
      </rPr>
      <t>ST</t>
    </r>
    <r>
      <rPr>
        <sz val="10"/>
        <rFont val="Arial"/>
        <charset val="204"/>
      </rPr>
      <t xml:space="preserve"> * F</t>
    </r>
    <r>
      <rPr>
        <vertAlign val="subscript"/>
        <sz val="10"/>
        <rFont val="Arial"/>
        <family val="2"/>
        <charset val="204"/>
      </rPr>
      <t>LU</t>
    </r>
    <r>
      <rPr>
        <sz val="10"/>
        <rFont val="Arial"/>
        <charset val="204"/>
      </rPr>
      <t xml:space="preserve"> * F</t>
    </r>
    <r>
      <rPr>
        <vertAlign val="subscript"/>
        <sz val="10"/>
        <rFont val="Arial"/>
        <family val="2"/>
        <charset val="204"/>
      </rPr>
      <t>MG</t>
    </r>
    <r>
      <rPr>
        <sz val="10"/>
        <rFont val="Arial"/>
        <charset val="204"/>
      </rPr>
      <t xml:space="preserve"> * F</t>
    </r>
    <r>
      <rPr>
        <vertAlign val="subscript"/>
        <sz val="10"/>
        <rFont val="Arial"/>
        <family val="2"/>
        <charset val="204"/>
      </rPr>
      <t>I</t>
    </r>
  </si>
  <si>
    <t>Actual land use</t>
  </si>
  <si>
    <t>Reference land use</t>
  </si>
  <si>
    <t>Above and below ground vegetation</t>
  </si>
  <si>
    <r>
      <t>C</t>
    </r>
    <r>
      <rPr>
        <vertAlign val="subscript"/>
        <sz val="10"/>
        <rFont val="Arial"/>
        <family val="2"/>
        <charset val="204"/>
      </rPr>
      <t>VEG</t>
    </r>
  </si>
  <si>
    <t xml:space="preserve"> ton C / ha</t>
  </si>
  <si>
    <t>As part of the BioGrace project, they have tracked down the causes of differences and provided us with correct numbers. These have been added to the input numbers and standard values in this Excel file.</t>
  </si>
  <si>
    <r>
      <t>CH</t>
    </r>
    <r>
      <rPr>
        <vertAlign val="subscript"/>
        <sz val="10"/>
        <rFont val="Verdana"/>
        <family val="2"/>
        <charset val="204"/>
      </rPr>
      <t>4</t>
    </r>
    <r>
      <rPr>
        <sz val="10"/>
        <rFont val="Verdana"/>
        <charset val="204"/>
      </rPr>
      <t xml:space="preserve"> and N</t>
    </r>
    <r>
      <rPr>
        <vertAlign val="subscript"/>
        <sz val="10"/>
        <rFont val="Verdana"/>
        <family val="2"/>
        <charset val="204"/>
      </rPr>
      <t>2</t>
    </r>
    <r>
      <rPr>
        <sz val="10"/>
        <rFont val="Verdana"/>
        <charset val="204"/>
      </rPr>
      <t>O emissions from NG gas engine</t>
    </r>
  </si>
  <si>
    <t>Emissions from steam production (per MJ steam or heat)</t>
  </si>
  <si>
    <t>In the top section the result of the calculation in this Excel sheet is shown as well as the RED Annex V default values.  Rounded numbers ars shown, causing that sometimes the results do not change when changing from option a to b or vice versa, whereas in other cases the results start to differ for one or more of the desaggregated values when choosing option a.</t>
  </si>
  <si>
    <r>
      <t>kg/m</t>
    </r>
    <r>
      <rPr>
        <vertAlign val="superscript"/>
        <sz val="10"/>
        <color indexed="22"/>
        <rFont val="Verdana"/>
        <family val="2"/>
        <charset val="204"/>
      </rPr>
      <t>3</t>
    </r>
  </si>
  <si>
    <t>Transport exhaust</t>
  </si>
  <si>
    <t>gas emissions</t>
  </si>
  <si>
    <r>
      <t>During our project, we found an inconsistency between the way the biofuel GHG default values (as listed in Annex V.A, V.B and V.D of the RED) have been calculated, and the methodology as listed in Annex V.C of the RED. The input provided by the JEC consortium to the Commission (from which the Commission calculated its default values) used Global Warming Potentials (GWP's) of 25 for CH</t>
    </r>
    <r>
      <rPr>
        <vertAlign val="subscript"/>
        <sz val="10"/>
        <rFont val="Arial"/>
        <family val="2"/>
        <charset val="204"/>
      </rPr>
      <t>4</t>
    </r>
    <r>
      <rPr>
        <sz val="10"/>
        <rFont val="Arial"/>
        <charset val="204"/>
      </rPr>
      <t xml:space="preserve"> and 298 for N</t>
    </r>
    <r>
      <rPr>
        <vertAlign val="subscript"/>
        <sz val="10"/>
        <rFont val="Arial"/>
        <family val="2"/>
        <charset val="204"/>
      </rPr>
      <t>2</t>
    </r>
    <r>
      <rPr>
        <sz val="10"/>
        <rFont val="Arial"/>
        <charset val="204"/>
      </rPr>
      <t>O, whereas the Annex V.C of the RED prescribes, in Article 5, that GWP's of 23 for CH</t>
    </r>
    <r>
      <rPr>
        <vertAlign val="subscript"/>
        <sz val="10"/>
        <rFont val="Arial"/>
        <family val="2"/>
        <charset val="204"/>
      </rPr>
      <t>4</t>
    </r>
    <r>
      <rPr>
        <sz val="10"/>
        <rFont val="Arial"/>
        <charset val="204"/>
      </rPr>
      <t xml:space="preserve"> and 296 for N</t>
    </r>
    <r>
      <rPr>
        <vertAlign val="subscript"/>
        <sz val="10"/>
        <rFont val="Arial"/>
        <family val="2"/>
        <charset val="204"/>
      </rPr>
      <t>2</t>
    </r>
    <r>
      <rPr>
        <sz val="10"/>
        <rFont val="Arial"/>
        <charset val="204"/>
      </rPr>
      <t xml:space="preserve">O should be used. </t>
    </r>
  </si>
  <si>
    <t>a. Calculations using the numbers that must be used following the methodology as given in Annex V.C of Directives 2009/28/EC and in Annx IV.C of Directive 2009/30/EC</t>
  </si>
  <si>
    <t>b. Calculations using the data as were delivered by the JEC consortium to the Commission. These calculations exactly reproduce the Annex V default values.</t>
  </si>
  <si>
    <t>The value shown here is 0 for option a above and 1 for option b above.</t>
  </si>
  <si>
    <r>
      <t>kg</t>
    </r>
    <r>
      <rPr>
        <vertAlign val="subscript"/>
        <sz val="10"/>
        <rFont val="Arial"/>
        <family val="2"/>
        <charset val="204"/>
      </rPr>
      <t xml:space="preserve">FAME </t>
    </r>
    <r>
      <rPr>
        <sz val="10"/>
        <rFont val="Arial"/>
        <charset val="204"/>
      </rPr>
      <t>/ MJ</t>
    </r>
    <r>
      <rPr>
        <vertAlign val="subscript"/>
        <sz val="10"/>
        <rFont val="Arial"/>
        <family val="2"/>
        <charset val="204"/>
      </rPr>
      <t>FAME</t>
    </r>
  </si>
  <si>
    <r>
      <t xml:space="preserve"> These numbers include GWP values of 23 for CH</t>
    </r>
    <r>
      <rPr>
        <vertAlign val="subscript"/>
        <sz val="10"/>
        <rFont val="Arial"/>
        <family val="2"/>
        <charset val="204"/>
      </rPr>
      <t>4</t>
    </r>
    <r>
      <rPr>
        <sz val="10"/>
        <rFont val="Arial"/>
        <charset val="204"/>
      </rPr>
      <t xml:space="preserve"> and 296 for N</t>
    </r>
    <r>
      <rPr>
        <vertAlign val="subscript"/>
        <sz val="10"/>
        <rFont val="Arial"/>
        <family val="2"/>
        <charset val="204"/>
      </rPr>
      <t>2</t>
    </r>
    <r>
      <rPr>
        <sz val="10"/>
        <rFont val="Arial"/>
        <charset val="204"/>
      </rPr>
      <t>O, plus rounded LHV values.</t>
    </r>
  </si>
  <si>
    <r>
      <t xml:space="preserve"> In order to come to these results, the GWP values of 25 for CH</t>
    </r>
    <r>
      <rPr>
        <vertAlign val="subscript"/>
        <sz val="10"/>
        <rFont val="Arial"/>
        <family val="2"/>
        <charset val="204"/>
      </rPr>
      <t>4</t>
    </r>
    <r>
      <rPr>
        <sz val="10"/>
        <rFont val="Arial"/>
        <charset val="204"/>
      </rPr>
      <t xml:space="preserve"> and 298 for N</t>
    </r>
    <r>
      <rPr>
        <vertAlign val="subscript"/>
        <sz val="10"/>
        <rFont val="Arial"/>
        <family val="2"/>
        <charset val="204"/>
      </rPr>
      <t>2</t>
    </r>
    <r>
      <rPr>
        <sz val="10"/>
        <rFont val="Arial"/>
        <charset val="204"/>
      </rPr>
      <t>O are used, as well as non-rounded LHV values</t>
    </r>
  </si>
  <si>
    <t>Fuel</t>
  </si>
  <si>
    <t>efficiency</t>
  </si>
  <si>
    <t>For some of the input data, LBST has provided us with slightly modified input numbers (so the numbers used in the calculations were slightly different than those listed in the file above).</t>
  </si>
  <si>
    <t>These alternative values have been tracked down, as one of the objectives of this Excel file is to show how the RED Annex V default values were calculated.</t>
  </si>
  <si>
    <t>These are numbers that can be taken from the Well-to-Wheel study, WTT Appendix 1, available at</t>
  </si>
  <si>
    <t>Again, LBST has provided us with the numbers that were actually used which for a number of standard values are slightly different as compared to those listed in version 2c of the WTT Appendix 1.</t>
  </si>
  <si>
    <t xml:space="preserve">Crop data. </t>
  </si>
  <si>
    <t>Please enter the data for your crop in the blue cells</t>
  </si>
  <si>
    <t>Crop name</t>
  </si>
  <si>
    <t>Palm</t>
  </si>
  <si>
    <t>Crop yield (fresh matter)</t>
  </si>
  <si>
    <t>Humidity(%)</t>
  </si>
  <si>
    <t>Crop yield (dry matter)</t>
  </si>
  <si>
    <t>Carbon loss due to land use change</t>
  </si>
  <si>
    <t xml:space="preserve">Please enter the N additions in the form of synthetic or organic fertilizer in the blue cells </t>
  </si>
  <si>
    <t>N in crop residues</t>
  </si>
  <si>
    <t>slope</t>
  </si>
  <si>
    <t>intercept</t>
  </si>
  <si>
    <t>LHV (MJ/kg)</t>
  </si>
  <si>
    <t>kg N/ha</t>
  </si>
  <si>
    <t>Syn diesel (BtL)</t>
  </si>
  <si>
    <t>-</t>
  </si>
  <si>
    <t>No LHV given in the E3 database. Allocation to soy bean meal should be performed in same way as done by JEC consortium</t>
  </si>
  <si>
    <t>No emission factors and LHV given in E3 database. Emissions assumed to be zero.</t>
  </si>
  <si>
    <t>Electricity production (reference for credit calculation)</t>
  </si>
  <si>
    <t>RED Annex V.C.5</t>
  </si>
  <si>
    <t>Or JEC E3-database (version 31-7-2008), depending on choice, see "Inconsistent use of Global Warming Potentials (GWPs)" in "About"</t>
  </si>
  <si>
    <r>
      <t>AG</t>
    </r>
    <r>
      <rPr>
        <vertAlign val="subscript"/>
        <sz val="10"/>
        <rFont val="Arial"/>
        <family val="2"/>
        <charset val="204"/>
      </rPr>
      <t>DM(T)</t>
    </r>
  </si>
  <si>
    <r>
      <t>F</t>
    </r>
    <r>
      <rPr>
        <vertAlign val="subscript"/>
        <sz val="10"/>
        <rFont val="Arial"/>
        <family val="2"/>
        <charset val="204"/>
      </rPr>
      <t>ON</t>
    </r>
  </si>
  <si>
    <r>
      <t xml:space="preserve">Frac </t>
    </r>
    <r>
      <rPr>
        <vertAlign val="subscript"/>
        <sz val="10"/>
        <rFont val="Arial"/>
        <family val="2"/>
        <charset val="204"/>
      </rPr>
      <t>Renew(T)</t>
    </r>
  </si>
  <si>
    <r>
      <t>F</t>
    </r>
    <r>
      <rPr>
        <vertAlign val="subscript"/>
        <sz val="10"/>
        <rFont val="Arial"/>
        <family val="2"/>
        <charset val="204"/>
      </rPr>
      <t>CR</t>
    </r>
  </si>
  <si>
    <r>
      <t>F</t>
    </r>
    <r>
      <rPr>
        <vertAlign val="subscript"/>
        <sz val="10"/>
        <rFont val="Arial"/>
        <family val="2"/>
        <charset val="204"/>
      </rPr>
      <t>SOM</t>
    </r>
  </si>
  <si>
    <r>
      <t>N</t>
    </r>
    <r>
      <rPr>
        <vertAlign val="subscript"/>
        <sz val="10"/>
        <rFont val="Arial"/>
        <family val="2"/>
        <charset val="204"/>
      </rPr>
      <t>AG(T)</t>
    </r>
  </si>
  <si>
    <r>
      <t xml:space="preserve">Frac </t>
    </r>
    <r>
      <rPr>
        <vertAlign val="subscript"/>
        <sz val="10"/>
        <rFont val="Arial"/>
        <family val="2"/>
        <charset val="204"/>
      </rPr>
      <t>Remove(T)</t>
    </r>
  </si>
  <si>
    <r>
      <t>N</t>
    </r>
    <r>
      <rPr>
        <vertAlign val="subscript"/>
        <sz val="10"/>
        <rFont val="Arial"/>
        <family val="2"/>
        <charset val="204"/>
      </rPr>
      <t>BG(T)</t>
    </r>
  </si>
  <si>
    <r>
      <t>N</t>
    </r>
    <r>
      <rPr>
        <vertAlign val="subscript"/>
        <sz val="10"/>
        <rFont val="Arial"/>
        <family val="2"/>
        <charset val="204"/>
      </rPr>
      <t>2</t>
    </r>
    <r>
      <rPr>
        <sz val="10"/>
        <rFont val="Arial"/>
        <charset val="204"/>
      </rPr>
      <t xml:space="preserve">O_N </t>
    </r>
    <r>
      <rPr>
        <vertAlign val="subscript"/>
        <sz val="10"/>
        <rFont val="Arial"/>
        <family val="2"/>
        <charset val="204"/>
      </rPr>
      <t>N inputs</t>
    </r>
  </si>
  <si>
    <r>
      <t>N</t>
    </r>
    <r>
      <rPr>
        <b/>
        <vertAlign val="subscript"/>
        <sz val="10"/>
        <rFont val="Arial"/>
        <family val="2"/>
        <charset val="204"/>
      </rPr>
      <t>2</t>
    </r>
    <r>
      <rPr>
        <b/>
        <sz val="10"/>
        <rFont val="Arial"/>
        <family val="2"/>
        <charset val="204"/>
      </rPr>
      <t>O</t>
    </r>
    <r>
      <rPr>
        <b/>
        <vertAlign val="subscript"/>
        <sz val="10"/>
        <rFont val="Arial"/>
        <family val="2"/>
        <charset val="204"/>
      </rPr>
      <t>(ATD)</t>
    </r>
    <r>
      <rPr>
        <b/>
        <sz val="10"/>
        <rFont val="Arial"/>
        <family val="2"/>
        <charset val="204"/>
      </rPr>
      <t>-N</t>
    </r>
  </si>
  <si>
    <r>
      <t>N</t>
    </r>
    <r>
      <rPr>
        <b/>
        <vertAlign val="subscript"/>
        <sz val="10"/>
        <rFont val="Arial"/>
        <family val="2"/>
        <charset val="204"/>
      </rPr>
      <t>2</t>
    </r>
    <r>
      <rPr>
        <b/>
        <sz val="10"/>
        <rFont val="Arial"/>
        <family val="2"/>
        <charset val="204"/>
      </rPr>
      <t>O</t>
    </r>
    <r>
      <rPr>
        <b/>
        <vertAlign val="subscript"/>
        <sz val="10"/>
        <rFont val="Arial"/>
        <family val="2"/>
        <charset val="204"/>
      </rPr>
      <t>(L)</t>
    </r>
    <r>
      <rPr>
        <b/>
        <sz val="10"/>
        <rFont val="Arial"/>
        <family val="2"/>
        <charset val="204"/>
      </rPr>
      <t>-N</t>
    </r>
  </si>
  <si>
    <r>
      <t xml:space="preserve">Frac </t>
    </r>
    <r>
      <rPr>
        <vertAlign val="subscript"/>
        <sz val="10"/>
        <rFont val="Arial"/>
        <family val="2"/>
        <charset val="204"/>
      </rPr>
      <t>GASM</t>
    </r>
  </si>
  <si>
    <r>
      <t xml:space="preserve">Frac </t>
    </r>
    <r>
      <rPr>
        <vertAlign val="subscript"/>
        <sz val="10"/>
        <rFont val="Arial"/>
        <family val="2"/>
        <charset val="204"/>
      </rPr>
      <t>GASF</t>
    </r>
  </si>
  <si>
    <r>
      <t>EF</t>
    </r>
    <r>
      <rPr>
        <vertAlign val="subscript"/>
        <sz val="10"/>
        <rFont val="Arial"/>
        <family val="2"/>
        <charset val="204"/>
      </rPr>
      <t>4</t>
    </r>
  </si>
  <si>
    <r>
      <t xml:space="preserve">Frac </t>
    </r>
    <r>
      <rPr>
        <vertAlign val="subscript"/>
        <sz val="10"/>
        <rFont val="Arial"/>
        <family val="2"/>
        <charset val="204"/>
      </rPr>
      <t>LEACH(H)</t>
    </r>
  </si>
  <si>
    <r>
      <t>EF</t>
    </r>
    <r>
      <rPr>
        <vertAlign val="subscript"/>
        <sz val="10"/>
        <rFont val="Arial"/>
        <family val="2"/>
        <charset val="204"/>
      </rPr>
      <t>5</t>
    </r>
  </si>
  <si>
    <t>LBST, which is a consultant to the JEC consortium and a subcontractor to the BioGrace project, uses the LCA tool and database E3database to perform their GHG calculations.</t>
  </si>
  <si>
    <t>Example 2 (methanol from standard values)</t>
  </si>
  <si>
    <t>Directory of pathways</t>
  </si>
  <si>
    <t>PVO</t>
  </si>
  <si>
    <t>Pure Vegetable Oil</t>
  </si>
  <si>
    <t>Abbreviations and definitions</t>
  </si>
  <si>
    <t>User Defined Standard Values</t>
  </si>
  <si>
    <t>N in synthetic fertilizer</t>
  </si>
  <si>
    <t>N in organic fertilizer</t>
  </si>
  <si>
    <t xml:space="preserve">N mineralized </t>
  </si>
  <si>
    <t>Eq 11.6</t>
  </si>
  <si>
    <t>Eq 11.7A</t>
  </si>
  <si>
    <t>min</t>
  </si>
  <si>
    <t>max</t>
  </si>
  <si>
    <t>per ha</t>
  </si>
  <si>
    <r>
      <t>The calculations make use of IPCC methodology Tier 1 on the estimation of N</t>
    </r>
    <r>
      <rPr>
        <vertAlign val="subscript"/>
        <sz val="10"/>
        <rFont val="Arial"/>
        <family val="2"/>
        <charset val="204"/>
      </rPr>
      <t>2</t>
    </r>
    <r>
      <rPr>
        <sz val="10"/>
        <rFont val="Arial"/>
        <charset val="204"/>
      </rPr>
      <t>O emissions from managed soils (1).</t>
    </r>
  </si>
  <si>
    <r>
      <t>F</t>
    </r>
    <r>
      <rPr>
        <b/>
        <vertAlign val="subscript"/>
        <sz val="10"/>
        <rFont val="Arial"/>
        <family val="2"/>
        <charset val="204"/>
      </rPr>
      <t>CR</t>
    </r>
  </si>
  <si>
    <r>
      <t>F</t>
    </r>
    <r>
      <rPr>
        <b/>
        <vertAlign val="subscript"/>
        <sz val="10"/>
        <rFont val="Arial"/>
        <family val="2"/>
        <charset val="204"/>
      </rPr>
      <t>SOM</t>
    </r>
  </si>
  <si>
    <r>
      <t>N</t>
    </r>
    <r>
      <rPr>
        <vertAlign val="subscript"/>
        <sz val="10"/>
        <rFont val="Arial"/>
        <family val="2"/>
        <charset val="204"/>
      </rPr>
      <t>AG</t>
    </r>
  </si>
  <si>
    <r>
      <t>AG</t>
    </r>
    <r>
      <rPr>
        <b/>
        <vertAlign val="subscript"/>
        <sz val="10"/>
        <rFont val="Arial"/>
        <family val="2"/>
        <charset val="204"/>
      </rPr>
      <t>DM(T)</t>
    </r>
  </si>
  <si>
    <r>
      <t>R</t>
    </r>
    <r>
      <rPr>
        <vertAlign val="subscript"/>
        <sz val="10"/>
        <rFont val="Arial"/>
        <family val="2"/>
        <charset val="204"/>
      </rPr>
      <t>AG(T)</t>
    </r>
  </si>
  <si>
    <r>
      <t>R</t>
    </r>
    <r>
      <rPr>
        <vertAlign val="subscript"/>
        <sz val="10"/>
        <rFont val="Arial"/>
        <family val="2"/>
        <charset val="204"/>
      </rPr>
      <t>BG-BIO(T)</t>
    </r>
  </si>
  <si>
    <r>
      <t>N</t>
    </r>
    <r>
      <rPr>
        <vertAlign val="subscript"/>
        <sz val="10"/>
        <rFont val="Arial"/>
        <family val="2"/>
        <charset val="204"/>
      </rPr>
      <t>BG</t>
    </r>
  </si>
  <si>
    <r>
      <t>R</t>
    </r>
    <r>
      <rPr>
        <vertAlign val="subscript"/>
        <sz val="10"/>
        <rFont val="Arial"/>
        <family val="2"/>
        <charset val="204"/>
      </rPr>
      <t>BG(T)</t>
    </r>
  </si>
  <si>
    <r>
      <t xml:space="preserve"> BG</t>
    </r>
    <r>
      <rPr>
        <vertAlign val="subscript"/>
        <sz val="10"/>
        <rFont val="Arial"/>
        <family val="2"/>
        <charset val="204"/>
      </rPr>
      <t>DM(T)</t>
    </r>
  </si>
  <si>
    <r>
      <t>F</t>
    </r>
    <r>
      <rPr>
        <vertAlign val="subscript"/>
        <sz val="10"/>
        <rFont val="Arial"/>
        <family val="2"/>
        <charset val="204"/>
      </rPr>
      <t>SN</t>
    </r>
  </si>
  <si>
    <t>About</t>
  </si>
  <si>
    <r>
      <t xml:space="preserve"> 1. </t>
    </r>
    <r>
      <rPr>
        <b/>
        <sz val="10"/>
        <rFont val="Arial"/>
        <family val="2"/>
        <charset val="204"/>
      </rPr>
      <t>List of input data</t>
    </r>
    <r>
      <rPr>
        <sz val="10"/>
        <rFont val="Arial"/>
        <charset val="204"/>
      </rPr>
      <t xml:space="preserve"> provided by the JEC consortium (JRC, EUCAR and CONCAWE) following consultation with stakeholders</t>
    </r>
  </si>
  <si>
    <t>Inconsistent use of Global Warming Potentials (GWPs)</t>
  </si>
  <si>
    <r>
      <t>Land use change, improved agriculture management, CO</t>
    </r>
    <r>
      <rPr>
        <b/>
        <vertAlign val="subscript"/>
        <sz val="10"/>
        <rFont val="Arial"/>
        <family val="2"/>
        <charset val="204"/>
      </rPr>
      <t>2</t>
    </r>
    <r>
      <rPr>
        <b/>
        <sz val="10"/>
        <rFont val="Arial"/>
        <family val="2"/>
        <charset val="204"/>
      </rPr>
      <t xml:space="preserve"> capture and geological storage, field N</t>
    </r>
    <r>
      <rPr>
        <b/>
        <vertAlign val="subscript"/>
        <sz val="10"/>
        <rFont val="Arial"/>
        <family val="2"/>
        <charset val="204"/>
      </rPr>
      <t>2</t>
    </r>
    <r>
      <rPr>
        <b/>
        <sz val="10"/>
        <rFont val="Arial"/>
        <family val="2"/>
        <charset val="204"/>
      </rPr>
      <t>O emissions</t>
    </r>
  </si>
  <si>
    <r>
      <t>CO</t>
    </r>
    <r>
      <rPr>
        <vertAlign val="subscript"/>
        <sz val="10"/>
        <rFont val="Arial"/>
        <family val="2"/>
        <charset val="204"/>
      </rPr>
      <t>2,eq</t>
    </r>
  </si>
  <si>
    <r>
      <t>gCO</t>
    </r>
    <r>
      <rPr>
        <vertAlign val="subscript"/>
        <sz val="10"/>
        <color indexed="22"/>
        <rFont val="Verdana"/>
        <family val="2"/>
        <charset val="204"/>
      </rPr>
      <t>2</t>
    </r>
    <r>
      <rPr>
        <sz val="10"/>
        <color indexed="22"/>
        <rFont val="Verdana"/>
        <family val="2"/>
        <charset val="204"/>
      </rPr>
      <t>/kg</t>
    </r>
  </si>
  <si>
    <r>
      <t>gCH</t>
    </r>
    <r>
      <rPr>
        <vertAlign val="subscript"/>
        <sz val="10"/>
        <color indexed="22"/>
        <rFont val="Verdana"/>
        <family val="2"/>
        <charset val="204"/>
      </rPr>
      <t>4</t>
    </r>
    <r>
      <rPr>
        <sz val="10"/>
        <color indexed="22"/>
        <rFont val="Verdana"/>
        <family val="2"/>
        <charset val="204"/>
      </rPr>
      <t>/kg</t>
    </r>
  </si>
  <si>
    <r>
      <t>gN</t>
    </r>
    <r>
      <rPr>
        <vertAlign val="subscript"/>
        <sz val="10"/>
        <color indexed="22"/>
        <rFont val="Verdana"/>
        <family val="2"/>
        <charset val="204"/>
      </rPr>
      <t>2</t>
    </r>
    <r>
      <rPr>
        <sz val="10"/>
        <color indexed="22"/>
        <rFont val="Verdana"/>
        <family val="2"/>
        <charset val="204"/>
      </rPr>
      <t>O/kg</t>
    </r>
  </si>
  <si>
    <r>
      <t>gCO</t>
    </r>
    <r>
      <rPr>
        <vertAlign val="subscript"/>
        <sz val="10"/>
        <color indexed="22"/>
        <rFont val="Verdana"/>
        <family val="2"/>
        <charset val="204"/>
      </rPr>
      <t>2-eq</t>
    </r>
    <r>
      <rPr>
        <sz val="10"/>
        <color indexed="22"/>
        <rFont val="Verdana"/>
        <family val="2"/>
        <charset val="204"/>
      </rPr>
      <t>/kg</t>
    </r>
  </si>
  <si>
    <r>
      <t>gCO</t>
    </r>
    <r>
      <rPr>
        <vertAlign val="subscript"/>
        <sz val="10"/>
        <color indexed="22"/>
        <rFont val="Verdana"/>
        <family val="2"/>
        <charset val="204"/>
      </rPr>
      <t>2</t>
    </r>
    <r>
      <rPr>
        <sz val="10"/>
        <color indexed="22"/>
        <rFont val="Verdana"/>
        <family val="2"/>
        <charset val="204"/>
      </rPr>
      <t>/MJ</t>
    </r>
  </si>
  <si>
    <r>
      <t>gCH</t>
    </r>
    <r>
      <rPr>
        <vertAlign val="subscript"/>
        <sz val="10"/>
        <color indexed="22"/>
        <rFont val="Verdana"/>
        <family val="2"/>
        <charset val="204"/>
      </rPr>
      <t>4</t>
    </r>
    <r>
      <rPr>
        <sz val="10"/>
        <color indexed="22"/>
        <rFont val="Verdana"/>
        <family val="2"/>
        <charset val="204"/>
      </rPr>
      <t>/MJ</t>
    </r>
  </si>
  <si>
    <r>
      <t>gN</t>
    </r>
    <r>
      <rPr>
        <vertAlign val="subscript"/>
        <sz val="10"/>
        <color indexed="22"/>
        <rFont val="Verdana"/>
        <family val="2"/>
        <charset val="204"/>
      </rPr>
      <t>2</t>
    </r>
    <r>
      <rPr>
        <sz val="10"/>
        <color indexed="22"/>
        <rFont val="Verdana"/>
        <family val="2"/>
        <charset val="204"/>
      </rPr>
      <t>O/MJ</t>
    </r>
  </si>
  <si>
    <r>
      <t>gCO</t>
    </r>
    <r>
      <rPr>
        <vertAlign val="subscript"/>
        <sz val="10"/>
        <color indexed="22"/>
        <rFont val="Verdana"/>
        <family val="2"/>
        <charset val="204"/>
      </rPr>
      <t>2-eq</t>
    </r>
    <r>
      <rPr>
        <sz val="10"/>
        <color indexed="22"/>
        <rFont val="Verdana"/>
        <family val="2"/>
        <charset val="204"/>
      </rPr>
      <t>/MJ</t>
    </r>
  </si>
  <si>
    <r>
      <t>Some numbers causing only small GHG emissions have not been published by the JEC consortium. As this Excel file is intended to make the calculation of the RED defaults fully transparent, these numbers are included in this file. Two examples are the 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of the boilers and gas turbine that produce steam, and the 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tailpipe emissions of truck and ship transport.</t>
    </r>
  </si>
  <si>
    <t>User defined standard values can be used instead of the values listed in the sheet "Standard values". This can be done as follows. Give a name and give values for the desired user-defined standard values in the sheet "User defined standard values". Make sure not to use the same name as used in the sheet "Standard values". Then, this parameter can be used in the calculations.</t>
  </si>
  <si>
    <t>A file with input data that has been prepared by the JRC consortium and is available on the JEC website at</t>
  </si>
  <si>
    <t>The results of the calculations are expressed as "default values". This means that for reproducing the RED Annex V default values, the input data for emissions of the processing steps (as were taken from the first data source as mentioned below) have been multiplied by 1.4 as is explained in the Communication "voluntary schemes and default values". In the three CNG from biogas production pathways, the factor 1,4 has been inserted in the step "biogas generation via fermentation" in a different way. This has been done differently as multiplying the input numbers with 1,4 would have led to a change of the size of the gas engine which uses biogas from the fermenter and which supplies heat to the fermenter.</t>
  </si>
  <si>
    <t>Values for standard values have also been calculated using LCA analysis of both the processes that supply the inputs (like N-fertiliser and natural gas) and their emissions at combustion.</t>
  </si>
  <si>
    <r>
      <t xml:space="preserve"> 3. </t>
    </r>
    <r>
      <rPr>
        <b/>
        <sz val="10"/>
        <rFont val="Arial"/>
        <family val="2"/>
        <charset val="204"/>
      </rPr>
      <t>The E3database of LBST</t>
    </r>
  </si>
  <si>
    <t xml:space="preserve">Values needed to convert input data into GHG emissions. </t>
  </si>
  <si>
    <t>Input numbers</t>
  </si>
  <si>
    <t>In this Excel file, input numbers are distinguished from standard values (for definition see below) which companies normally cannot influence and/or measure.</t>
  </si>
  <si>
    <t>Data sources</t>
  </si>
  <si>
    <t>Data used for the calculations in this Excel file come from three sources:</t>
  </si>
  <si>
    <t>The numbers that companies in the biofuel production chain (farmers, transport organisations, traders, biofuel producers) can influence and measure.</t>
  </si>
  <si>
    <t xml:space="preserve"> n/a </t>
  </si>
  <si>
    <r>
      <t>MJ / MJ</t>
    </r>
    <r>
      <rPr>
        <vertAlign val="subscript"/>
        <sz val="10"/>
        <rFont val="Arial"/>
        <family val="2"/>
        <charset val="204"/>
      </rPr>
      <t>Rapeseed, input</t>
    </r>
  </si>
  <si>
    <r>
      <t>MJ</t>
    </r>
    <r>
      <rPr>
        <vertAlign val="subscript"/>
        <sz val="10"/>
        <color indexed="22"/>
        <rFont val="Verdana"/>
        <family val="2"/>
        <charset val="204"/>
      </rPr>
      <t>fossil</t>
    </r>
    <r>
      <rPr>
        <sz val="10"/>
        <color indexed="22"/>
        <rFont val="Verdana"/>
        <family val="2"/>
        <charset val="204"/>
      </rPr>
      <t>/kg</t>
    </r>
  </si>
  <si>
    <r>
      <t>MJ</t>
    </r>
    <r>
      <rPr>
        <vertAlign val="subscript"/>
        <sz val="10"/>
        <color indexed="22"/>
        <rFont val="Verdana"/>
        <family val="2"/>
        <charset val="204"/>
      </rPr>
      <t>fossil</t>
    </r>
    <r>
      <rPr>
        <sz val="10"/>
        <color indexed="22"/>
        <rFont val="Verdana"/>
        <family val="2"/>
        <charset val="204"/>
      </rPr>
      <t>/MJ</t>
    </r>
  </si>
  <si>
    <r>
      <t>gCH</t>
    </r>
    <r>
      <rPr>
        <vertAlign val="subscript"/>
        <sz val="10"/>
        <color indexed="22"/>
        <rFont val="Verdana"/>
        <family val="2"/>
        <charset val="204"/>
      </rPr>
      <t>4</t>
    </r>
    <r>
      <rPr>
        <sz val="10"/>
        <color indexed="22"/>
        <rFont val="Verdana"/>
        <family val="2"/>
        <charset val="204"/>
      </rPr>
      <t>/t.km</t>
    </r>
  </si>
  <si>
    <r>
      <t>gN</t>
    </r>
    <r>
      <rPr>
        <vertAlign val="subscript"/>
        <sz val="10"/>
        <color indexed="22"/>
        <rFont val="Verdana"/>
        <family val="2"/>
        <charset val="204"/>
      </rPr>
      <t>2</t>
    </r>
    <r>
      <rPr>
        <sz val="10"/>
        <color indexed="22"/>
        <rFont val="Verdana"/>
        <family val="2"/>
        <charset val="204"/>
      </rPr>
      <t>O/t.km</t>
    </r>
  </si>
  <si>
    <r>
      <t>GHG emissions caused by CO</t>
    </r>
    <r>
      <rPr>
        <vertAlign val="subscript"/>
        <sz val="10"/>
        <rFont val="Arial"/>
        <family val="2"/>
        <charset val="204"/>
      </rPr>
      <t>2</t>
    </r>
    <r>
      <rPr>
        <sz val="10"/>
        <rFont val="Arial"/>
        <charset val="204"/>
      </rPr>
      <t>, CH</t>
    </r>
    <r>
      <rPr>
        <vertAlign val="subscript"/>
        <sz val="10"/>
        <rFont val="Arial"/>
        <family val="2"/>
        <charset val="204"/>
      </rPr>
      <t>4</t>
    </r>
    <r>
      <rPr>
        <sz val="10"/>
        <rFont val="Arial"/>
        <charset val="204"/>
      </rPr>
      <t>, and N</t>
    </r>
    <r>
      <rPr>
        <vertAlign val="subscript"/>
        <sz val="10"/>
        <rFont val="Arial"/>
        <family val="2"/>
        <charset val="204"/>
      </rPr>
      <t>2</t>
    </r>
    <r>
      <rPr>
        <sz val="10"/>
        <rFont val="Arial"/>
        <charset val="204"/>
      </rPr>
      <t>O, expressed as CO</t>
    </r>
    <r>
      <rPr>
        <vertAlign val="subscript"/>
        <sz val="10"/>
        <rFont val="Arial"/>
        <family val="2"/>
        <charset val="204"/>
      </rPr>
      <t>2</t>
    </r>
    <r>
      <rPr>
        <sz val="10"/>
        <rFont val="Arial"/>
        <charset val="204"/>
      </rPr>
      <t>-equivalent emissions using the global warming potentials of 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as listed in the sheet "Standard Values".</t>
    </r>
  </si>
  <si>
    <r>
      <t>Sodium carbonate (Na</t>
    </r>
    <r>
      <rPr>
        <vertAlign val="subscript"/>
        <sz val="10"/>
        <rFont val="Arial"/>
        <family val="2"/>
        <charset val="204"/>
      </rPr>
      <t>2</t>
    </r>
    <r>
      <rPr>
        <sz val="10"/>
        <rFont val="Arial"/>
        <charset val="204"/>
      </rPr>
      <t>CO</t>
    </r>
    <r>
      <rPr>
        <vertAlign val="subscript"/>
        <sz val="10"/>
        <rFont val="Arial"/>
        <family val="2"/>
        <charset val="204"/>
      </rPr>
      <t>3</t>
    </r>
    <r>
      <rPr>
        <sz val="10"/>
        <rFont val="Arial"/>
        <charset val="204"/>
      </rPr>
      <t>)</t>
    </r>
  </si>
  <si>
    <r>
      <t>MJ</t>
    </r>
    <r>
      <rPr>
        <vertAlign val="subscript"/>
        <sz val="10"/>
        <rFont val="Arial"/>
        <family val="2"/>
        <charset val="204"/>
      </rPr>
      <t>FAME</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</si>
  <si>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r>
      <t>MJ</t>
    </r>
    <r>
      <rPr>
        <vertAlign val="subscript"/>
        <sz val="10"/>
        <rFont val="Arial"/>
        <family val="2"/>
        <charset val="204"/>
      </rPr>
      <t>Ethanol</t>
    </r>
    <r>
      <rPr>
        <sz val="10"/>
        <rFont val="Arial"/>
        <charset val="204"/>
      </rPr>
      <t xml:space="preserve"> / MJ</t>
    </r>
    <r>
      <rPr>
        <vertAlign val="subscript"/>
        <sz val="10"/>
        <rFont val="Arial"/>
        <family val="2"/>
        <charset val="204"/>
      </rPr>
      <t>Wheat, input</t>
    </r>
  </si>
  <si>
    <t>Rapeseed cake</t>
  </si>
  <si>
    <t>HVO</t>
  </si>
  <si>
    <r>
      <t>g CO</t>
    </r>
    <r>
      <rPr>
        <vertAlign val="subscript"/>
        <sz val="10"/>
        <rFont val="Arial"/>
        <family val="2"/>
        <charset val="204"/>
      </rPr>
      <t>2,eq</t>
    </r>
    <r>
      <rPr>
        <sz val="10"/>
        <rFont val="Arial"/>
        <charset val="204"/>
      </rPr>
      <t xml:space="preserve"> / MJ</t>
    </r>
    <r>
      <rPr>
        <vertAlign val="subscript"/>
        <sz val="10"/>
        <rFont val="Arial"/>
        <family val="2"/>
        <charset val="204"/>
      </rPr>
      <t>FAME</t>
    </r>
  </si>
  <si>
    <t>Fatty Acid Methyl Esters</t>
  </si>
  <si>
    <t>Example 1 (diesel from standard values)</t>
  </si>
  <si>
    <t xml:space="preserve">This excel file shows transparant greenhouse gas (GHG) calculations using the methodology as given in the Directives 2009/28/EC and 2009/30/EC. Directive 2009/28/EC is the "directive on the promotion and the use of energy from renewable energy sources …" and will in this document be referred to as "RED" (Renewable Energy Directive). Directive 2009/30/EC is further referred to as the "FQD" (Fuel Quality Directive). </t>
  </si>
  <si>
    <t>Hydrotreated Vegetable Oil</t>
  </si>
  <si>
    <t>Example: put the name "N-fertiliser (type XYZ)" in row C of the sheet "user defined standard values", and put values in column D, E and F. Then you can replace the parameter name "N-fertiliser" with "N-fertiliser (type XYZ)" in the sheets showing the calculations.</t>
  </si>
  <si>
    <r>
      <t>We used an earlier version of this file (dated July 31, 2008), because one addition that is included in the file on the JRC website was not included in calculating the RED and FQD default values. The difference between the two versions is the steam input in refining of oil to FAME; in the 31 July version this number is 0,0687 MJ/MJ</t>
    </r>
    <r>
      <rPr>
        <vertAlign val="subscript"/>
        <sz val="10"/>
        <rFont val="Arial"/>
        <family val="2"/>
        <charset val="204"/>
      </rPr>
      <t>FAME</t>
    </r>
    <r>
      <rPr>
        <sz val="10"/>
        <rFont val="Arial"/>
        <charset val="204"/>
      </rPr>
      <t xml:space="preserve"> whereas in the 14 Nov version this is 0,0397 MJ/MJ</t>
    </r>
    <r>
      <rPr>
        <vertAlign val="subscript"/>
        <sz val="10"/>
        <rFont val="Arial"/>
        <family val="2"/>
        <charset val="204"/>
      </rPr>
      <t>FAME</t>
    </r>
    <r>
      <rPr>
        <sz val="10"/>
        <rFont val="Arial"/>
        <charset val="204"/>
      </rPr>
      <t xml:space="preserve">.    </t>
    </r>
  </si>
  <si>
    <t>A user manual is published together with this version of the Excel file, which gives assistence on how to make such modifications.</t>
  </si>
  <si>
    <t>When this Excel file is used to make actual calculations to show compliance with the RED/FQD sustainability criteria on GHG emission savings, the following requirements apply:</t>
  </si>
  <si>
    <r>
      <t>This Excel file does not include guidance for calculation of carbon dioxide capture and geological storage. Nor does this version help you to calculate field N</t>
    </r>
    <r>
      <rPr>
        <vertAlign val="subscript"/>
        <sz val="10"/>
        <rFont val="Arial"/>
        <family val="2"/>
        <charset val="204"/>
      </rPr>
      <t>2</t>
    </r>
    <r>
      <rPr>
        <sz val="10"/>
        <rFont val="Arial"/>
        <charset val="204"/>
      </rPr>
      <t>O emissions in the cultivation part of the biofuel production chains. Future versions of this Excel file probably will contain a calculation sheet for calculation of N</t>
    </r>
    <r>
      <rPr>
        <vertAlign val="subscript"/>
        <sz val="10"/>
        <rFont val="Arial"/>
        <family val="2"/>
        <charset val="204"/>
      </rPr>
      <t>2</t>
    </r>
    <r>
      <rPr>
        <sz val="10"/>
        <rFont val="Arial"/>
        <charset val="204"/>
      </rPr>
      <t>O field emissions.</t>
    </r>
  </si>
  <si>
    <t xml:space="preserve"> BioGrace  -   Excel based biofuel GHG calculations</t>
  </si>
  <si>
    <t>The choice will change the value for the number shown here:</t>
  </si>
  <si>
    <t>Fuller's earth</t>
  </si>
  <si>
    <t>Cycle-hexane</t>
  </si>
  <si>
    <t>Lubricants</t>
  </si>
  <si>
    <t>http://re.jrc.ec.europa.eu/biof/xls/Biofuels%20pathways%20RED%20method%2014Nov2008.xls</t>
  </si>
  <si>
    <r>
      <t xml:space="preserve"> 2. </t>
    </r>
    <r>
      <rPr>
        <b/>
        <sz val="10"/>
        <rFont val="Arial"/>
        <family val="2"/>
        <charset val="204"/>
      </rPr>
      <t>List of standard values</t>
    </r>
    <r>
      <rPr>
        <sz val="10"/>
        <rFont val="Arial"/>
        <charset val="204"/>
      </rPr>
      <t xml:space="preserve"> as provided by the JEC consortium</t>
    </r>
  </si>
  <si>
    <t>http://ies.jrc.ec.europa.eu/WTW</t>
  </si>
  <si>
    <t>Use of this Excel file</t>
  </si>
  <si>
    <r>
      <t>Examples are Lower Heating Values and values to convert 1 kg N-fertiliser or 1 MJ of natural gas into CO</t>
    </r>
    <r>
      <rPr>
        <vertAlign val="subscript"/>
        <sz val="10"/>
        <rFont val="Arial"/>
        <family val="2"/>
        <charset val="204"/>
      </rPr>
      <t>2</t>
    </r>
    <r>
      <rPr>
        <sz val="10"/>
        <rFont val="Arial"/>
        <charset val="204"/>
      </rPr>
      <t>, 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t>
    </r>
  </si>
  <si>
    <r>
      <t xml:space="preserve">  </t>
    </r>
    <r>
      <rPr>
        <sz val="20"/>
        <rFont val="Symbol"/>
      </rPr>
      <t>·</t>
    </r>
    <r>
      <rPr>
        <sz val="20"/>
        <rFont val="Arial"/>
        <family val="2"/>
        <charset val="204"/>
      </rPr>
      <t xml:space="preserve"> Example of use of average values for cultivation</t>
    </r>
  </si>
  <si>
    <r>
      <t xml:space="preserve">  </t>
    </r>
    <r>
      <rPr>
        <sz val="20"/>
        <rFont val="Symbol"/>
      </rPr>
      <t>·</t>
    </r>
    <r>
      <rPr>
        <sz val="20"/>
        <rFont val="Arial"/>
        <family val="2"/>
        <charset val="204"/>
      </rPr>
      <t xml:space="preserve"> Note: there is discussion on a calculation rule on use of the data from the NUTS-2 study</t>
    </r>
  </si>
  <si>
    <r>
      <t xml:space="preserve">  </t>
    </r>
    <r>
      <rPr>
        <sz val="20"/>
        <rFont val="Symbol"/>
      </rPr>
      <t>·</t>
    </r>
    <r>
      <rPr>
        <sz val="20"/>
        <rFont val="Arial"/>
        <family val="2"/>
        <charset val="204"/>
      </rPr>
      <t xml:space="preserve"> Collect all data and put them in the right units</t>
    </r>
  </si>
  <si>
    <r>
      <t xml:space="preserve">  </t>
    </r>
    <r>
      <rPr>
        <sz val="20"/>
        <rFont val="Symbol"/>
      </rPr>
      <t>·</t>
    </r>
    <r>
      <rPr>
        <sz val="20"/>
        <rFont val="Arial"/>
        <family val="2"/>
        <charset val="204"/>
      </rPr>
      <t xml:space="preserve"> In this example we have used data from in North – Western region (NUTS-2) in Bulgaria</t>
    </r>
  </si>
  <si>
    <t>Amount provided by stakeholder</t>
  </si>
  <si>
    <t>crops</t>
  </si>
  <si>
    <t>ammonium nitrate</t>
  </si>
  <si>
    <t>wheat</t>
  </si>
  <si>
    <t>up to 60 kg N</t>
  </si>
  <si>
    <t>from 61 to 120 kg N</t>
  </si>
  <si>
    <t>above 120 kg N</t>
  </si>
  <si>
    <t>kg/ha diesel</t>
  </si>
  <si>
    <t>MJ/ha</t>
  </si>
  <si>
    <t>kgN/ha</t>
  </si>
  <si>
    <r>
      <t>Ø</t>
    </r>
    <r>
      <rPr>
        <sz val="7"/>
        <rFont val="Times New Roman"/>
        <family val="1"/>
        <charset val="204"/>
      </rPr>
      <t xml:space="preserve">  </t>
    </r>
    <r>
      <rPr>
        <sz val="12"/>
        <rFont val="Times New Roman"/>
        <charset val="204"/>
      </rPr>
      <t xml:space="preserve">Biothanol production  - </t>
    </r>
  </si>
  <si>
    <t>From 3.55 t wheat  - 1 t bioethanol and 520 kg DDGS</t>
  </si>
  <si>
    <t>t wheat</t>
  </si>
  <si>
    <t>t ethanol</t>
  </si>
  <si>
    <t>t DDGS</t>
  </si>
  <si>
    <t>MJ/kg ethanol</t>
  </si>
  <si>
    <t>MJ/kg wheat</t>
  </si>
  <si>
    <r>
      <t xml:space="preserve">  </t>
    </r>
    <r>
      <rPr>
        <sz val="20"/>
        <rFont val="Symbol"/>
      </rPr>
      <t>·</t>
    </r>
    <r>
      <rPr>
        <sz val="20"/>
        <rFont val="Arial"/>
        <family val="2"/>
        <charset val="204"/>
      </rPr>
      <t xml:space="preserve"> Copy the sheet E-Wt (not spec.) and substitute these values in the appropriate cells of the sheet</t>
    </r>
  </si>
  <si>
    <t>Calculate these values using the sheet N2O emissions IPCC</t>
  </si>
  <si>
    <t>Nitrogen</t>
  </si>
  <si>
    <t>Ecoinvent database</t>
  </si>
  <si>
    <t>Emissions per MJ FAME</t>
  </si>
  <si>
    <t>Rapeseed oil</t>
  </si>
  <si>
    <t>Chemicals</t>
  </si>
  <si>
    <r>
      <rPr>
        <b/>
        <sz val="10"/>
        <color indexed="16"/>
        <rFont val="Arial"/>
        <family val="2"/>
        <charset val="204"/>
      </rPr>
      <t>Eq 11.X</t>
    </r>
    <r>
      <rPr>
        <sz val="10"/>
        <rFont val="Arial"/>
        <charset val="204"/>
      </rPr>
      <t xml:space="preserve"> gives you the number of the equation in the IPPC chapter 11 report.  </t>
    </r>
  </si>
  <si>
    <r>
      <t>(1) IPCC 2006, 2006 IPCC Guidelines for National Greenhouse Gas Inventories, Prepared by the National Greenhouse Gas Inventories Programme, Eggleston H.S., Buendia L., Miwa K., Ngara T. and Tanabe K. (eds). Published: IGES, Japan. See Chapter 11 on N</t>
    </r>
    <r>
      <rPr>
        <i/>
        <vertAlign val="subscript"/>
        <sz val="10"/>
        <rFont val="Arial"/>
        <family val="2"/>
        <charset val="204"/>
      </rPr>
      <t>2</t>
    </r>
    <r>
      <rPr>
        <i/>
        <sz val="10"/>
        <rFont val="Arial"/>
        <family val="2"/>
        <charset val="204"/>
      </rPr>
      <t>O emissions from managed soils</t>
    </r>
  </si>
  <si>
    <t>Eq.11.2</t>
  </si>
  <si>
    <t xml:space="preserve">See IPCC 2006, chapter 11 </t>
  </si>
  <si>
    <t>Glossary for table 6, 7</t>
  </si>
  <si>
    <t>Applied synthetic fertiliser</t>
  </si>
  <si>
    <t>Applied organic fertiliser</t>
  </si>
  <si>
    <t>Crop residue N returned to soils ( including N-fixing crops and pasture renewal)</t>
  </si>
  <si>
    <t xml:space="preserve">Mineralised N resulting from loss of soil organic C stocks in mineral soils </t>
  </si>
  <si>
    <t>through land-use change or management practices</t>
  </si>
  <si>
    <t xml:space="preserve">Fraction of all N added to/mineralised that is lost through leaching and runoff, in kg N </t>
  </si>
  <si>
    <t xml:space="preserve">Fraction of applied organic N fertiliser materials (FON) and of urine,etc, that  volatilises  as  NH3  and  NOx,  in kg  N  volatilised </t>
  </si>
  <si>
    <t xml:space="preserve">Fraction of synthetic fertiliser N that volatilises as NH3 and NOx, kg N volatilised (kg of N applied)-1 </t>
  </si>
  <si>
    <t>Not known</t>
  </si>
  <si>
    <t>Natural gas (4000 km, Russian NG quality)</t>
  </si>
  <si>
    <t>Natural gas (4000 km, EU Mix qualilty)</t>
  </si>
  <si>
    <t>Truck for liquids (Diesel)</t>
  </si>
  <si>
    <t>Calculated from value above, correction for weight of liquid container (2 ton) in comparison to loaded truck weight (26 ton)</t>
  </si>
  <si>
    <t>x</t>
  </si>
  <si>
    <t>Standard values</t>
  </si>
  <si>
    <r>
      <t>e</t>
    </r>
    <r>
      <rPr>
        <b/>
        <vertAlign val="subscript"/>
        <sz val="10"/>
        <rFont val="Arial"/>
        <family val="2"/>
        <charset val="204"/>
      </rPr>
      <t>ccr</t>
    </r>
  </si>
  <si>
    <r>
      <t>e</t>
    </r>
    <r>
      <rPr>
        <b/>
        <vertAlign val="subscript"/>
        <sz val="10"/>
        <rFont val="Arial"/>
        <family val="2"/>
        <charset val="204"/>
      </rPr>
      <t>ccs</t>
    </r>
  </si>
  <si>
    <r>
      <t>CO</t>
    </r>
    <r>
      <rPr>
        <b/>
        <vertAlign val="subscript"/>
        <sz val="12"/>
        <color indexed="9"/>
        <rFont val="Arial"/>
        <family val="2"/>
        <charset val="204"/>
      </rPr>
      <t>2</t>
    </r>
    <r>
      <rPr>
        <b/>
        <sz val="12"/>
        <color indexed="9"/>
        <rFont val="Arial"/>
        <family val="2"/>
        <charset val="204"/>
      </rPr>
      <t xml:space="preserve"> capture and replacement</t>
    </r>
  </si>
  <si>
    <r>
      <t>CO</t>
    </r>
    <r>
      <rPr>
        <b/>
        <vertAlign val="subscript"/>
        <sz val="12"/>
        <color indexed="9"/>
        <rFont val="Arial"/>
        <family val="2"/>
        <charset val="204"/>
      </rPr>
      <t>2</t>
    </r>
    <r>
      <rPr>
        <b/>
        <sz val="12"/>
        <color indexed="9"/>
        <rFont val="Arial"/>
        <family val="2"/>
        <charset val="204"/>
      </rPr>
      <t xml:space="preserve"> capture and geological storage</t>
    </r>
  </si>
  <si>
    <r>
      <t>e</t>
    </r>
    <r>
      <rPr>
        <b/>
        <vertAlign val="subscript"/>
        <sz val="10"/>
        <rFont val="Arial"/>
        <family val="2"/>
        <charset val="204"/>
      </rPr>
      <t>sca</t>
    </r>
  </si>
  <si>
    <r>
      <t>e</t>
    </r>
    <r>
      <rPr>
        <b/>
        <vertAlign val="subscript"/>
        <sz val="10"/>
        <rFont val="Arial"/>
        <family val="2"/>
        <charset val="204"/>
      </rPr>
      <t>l</t>
    </r>
  </si>
  <si>
    <r>
      <t>e</t>
    </r>
    <r>
      <rPr>
        <b/>
        <vertAlign val="subscript"/>
        <sz val="12"/>
        <color indexed="9"/>
        <rFont val="Arial"/>
        <family val="2"/>
        <charset val="204"/>
      </rPr>
      <t>sca</t>
    </r>
    <r>
      <rPr>
        <b/>
        <sz val="12"/>
        <color indexed="9"/>
        <rFont val="Arial"/>
        <family val="2"/>
        <charset val="204"/>
      </rPr>
      <t xml:space="preserve"> + e</t>
    </r>
    <r>
      <rPr>
        <b/>
        <vertAlign val="subscript"/>
        <sz val="12"/>
        <color indexed="9"/>
        <rFont val="Arial"/>
        <family val="2"/>
        <charset val="204"/>
      </rPr>
      <t>ccr</t>
    </r>
    <r>
      <rPr>
        <b/>
        <sz val="12"/>
        <color indexed="9"/>
        <rFont val="Arial"/>
        <family val="2"/>
        <charset val="204"/>
      </rPr>
      <t xml:space="preserve"> + e</t>
    </r>
    <r>
      <rPr>
        <b/>
        <vertAlign val="subscript"/>
        <sz val="12"/>
        <color indexed="9"/>
        <rFont val="Arial"/>
        <family val="2"/>
        <charset val="204"/>
      </rPr>
      <t>ccs</t>
    </r>
  </si>
  <si>
    <t>About this Excel file</t>
  </si>
  <si>
    <t>Co-product Sugar beet pulp</t>
  </si>
  <si>
    <t>Co-product Straw</t>
  </si>
  <si>
    <t>Co-product DDGS</t>
  </si>
  <si>
    <t>Co-product Rapeseed cake</t>
  </si>
  <si>
    <t>Co-product refined glycerol</t>
  </si>
  <si>
    <t>This Excel file can therefore be used to make two kind of calculations:</t>
  </si>
  <si>
    <t>Not concerned</t>
  </si>
  <si>
    <r>
      <t>or the E</t>
    </r>
    <r>
      <rPr>
        <u/>
        <vertAlign val="subscript"/>
        <sz val="10"/>
        <color indexed="12"/>
        <rFont val="Arial"/>
        <family val="2"/>
        <charset val="204"/>
      </rPr>
      <t>SCA</t>
    </r>
    <r>
      <rPr>
        <u/>
        <sz val="10"/>
        <color indexed="12"/>
        <rFont val="Arial"/>
        <family val="2"/>
        <charset val="204"/>
      </rPr>
      <t>sheet for modified practices</t>
    </r>
  </si>
  <si>
    <t xml:space="preserve">N in crop residues = </t>
  </si>
  <si>
    <t xml:space="preserve">N mineralised from LUC = </t>
  </si>
  <si>
    <r>
      <t>EF</t>
    </r>
    <r>
      <rPr>
        <b/>
        <vertAlign val="subscript"/>
        <sz val="10"/>
        <color indexed="16"/>
        <rFont val="Arial"/>
        <family val="2"/>
        <charset val="204"/>
      </rPr>
      <t>1</t>
    </r>
  </si>
  <si>
    <r>
      <t>Emission factor for NH</t>
    </r>
    <r>
      <rPr>
        <vertAlign val="subscript"/>
        <sz val="10"/>
        <color indexed="16"/>
        <rFont val="Arial"/>
        <family val="2"/>
        <charset val="204"/>
      </rPr>
      <t>3</t>
    </r>
    <r>
      <rPr>
        <sz val="10"/>
        <color indexed="16"/>
        <rFont val="Arial"/>
        <family val="2"/>
        <charset val="204"/>
      </rPr>
      <t xml:space="preserve"> volatilization (IPCC Tier 1): </t>
    </r>
  </si>
  <si>
    <r>
      <t>EF</t>
    </r>
    <r>
      <rPr>
        <b/>
        <vertAlign val="subscript"/>
        <sz val="10"/>
        <color indexed="16"/>
        <rFont val="Arial"/>
        <family val="2"/>
        <charset val="204"/>
      </rPr>
      <t>4</t>
    </r>
    <r>
      <rPr>
        <b/>
        <sz val="10"/>
        <color indexed="16"/>
        <rFont val="Arial"/>
        <family val="2"/>
        <charset val="204"/>
      </rPr>
      <t xml:space="preserve">   (%)</t>
    </r>
  </si>
  <si>
    <r>
      <t>EF</t>
    </r>
    <r>
      <rPr>
        <b/>
        <vertAlign val="subscript"/>
        <sz val="10"/>
        <color indexed="16"/>
        <rFont val="Arial"/>
        <family val="2"/>
        <charset val="204"/>
      </rPr>
      <t>5</t>
    </r>
    <r>
      <rPr>
        <b/>
        <sz val="10"/>
        <color indexed="16"/>
        <rFont val="Arial"/>
        <family val="2"/>
        <charset val="204"/>
      </rPr>
      <t xml:space="preserve">  (%)</t>
    </r>
  </si>
  <si>
    <t xml:space="preserve">Volatilization = </t>
  </si>
  <si>
    <t>Table 6</t>
  </si>
  <si>
    <t xml:space="preserve">Leaching = </t>
  </si>
  <si>
    <t>Table 7</t>
  </si>
  <si>
    <t>Table 8</t>
  </si>
  <si>
    <r>
      <t>Direct N</t>
    </r>
    <r>
      <rPr>
        <b/>
        <vertAlign val="subscript"/>
        <sz val="12"/>
        <color indexed="19"/>
        <rFont val="Arial"/>
        <family val="2"/>
        <charset val="204"/>
      </rPr>
      <t>2</t>
    </r>
    <r>
      <rPr>
        <b/>
        <sz val="12"/>
        <color indexed="19"/>
        <rFont val="Arial"/>
        <family val="2"/>
        <charset val="204"/>
      </rPr>
      <t xml:space="preserve">O emissions from managed soils (Tier1). </t>
    </r>
  </si>
  <si>
    <t>See Table 2, Table 3, Table 4 and Table 5 for intermediate calculations (right side of the this sheet)</t>
  </si>
  <si>
    <t>See Table 6, Table 7, Table 8  for intermediate calculations (right side of the this sheet)</t>
  </si>
  <si>
    <t>Table 5</t>
  </si>
  <si>
    <t>Glossary for the Table 2, 3 and 4</t>
  </si>
  <si>
    <t xml:space="preserve">Fresh matter = </t>
  </si>
  <si>
    <t>Dry matter</t>
  </si>
  <si>
    <t>Ton</t>
  </si>
  <si>
    <r>
      <t>N</t>
    </r>
    <r>
      <rPr>
        <vertAlign val="subscript"/>
        <sz val="10"/>
        <rFont val="Arial"/>
        <family val="2"/>
        <charset val="204"/>
      </rPr>
      <t xml:space="preserve">AG </t>
    </r>
    <r>
      <rPr>
        <sz val="10"/>
        <rFont val="Arial"/>
        <charset val="204"/>
      </rPr>
      <t xml:space="preserve">= </t>
    </r>
  </si>
  <si>
    <t xml:space="preserve">slope = </t>
  </si>
  <si>
    <t>N content of above ground residue</t>
  </si>
  <si>
    <t>IPCC 2006, chap 11</t>
  </si>
  <si>
    <r>
      <t>AG</t>
    </r>
    <r>
      <rPr>
        <b/>
        <vertAlign val="subscript"/>
        <sz val="10"/>
        <rFont val="Arial"/>
        <family val="2"/>
        <charset val="204"/>
      </rPr>
      <t>DM(T)</t>
    </r>
    <r>
      <rPr>
        <b/>
        <sz val="10"/>
        <rFont val="Arial"/>
        <family val="2"/>
        <charset val="204"/>
      </rPr>
      <t xml:space="preserve"> = </t>
    </r>
  </si>
  <si>
    <r>
      <t>R</t>
    </r>
    <r>
      <rPr>
        <vertAlign val="subscript"/>
        <sz val="10"/>
        <rFont val="Arial"/>
        <family val="2"/>
        <charset val="204"/>
      </rPr>
      <t xml:space="preserve">BG-BIO(T) </t>
    </r>
    <r>
      <rPr>
        <sz val="10"/>
        <rFont val="Arial"/>
        <charset val="204"/>
      </rPr>
      <t xml:space="preserve">= </t>
    </r>
  </si>
  <si>
    <r>
      <t>R</t>
    </r>
    <r>
      <rPr>
        <vertAlign val="subscript"/>
        <sz val="10"/>
        <rFont val="Arial"/>
        <family val="2"/>
        <charset val="204"/>
      </rPr>
      <t xml:space="preserve">AG(T) </t>
    </r>
    <r>
      <rPr>
        <sz val="10"/>
        <rFont val="Arial"/>
        <charset val="204"/>
      </rPr>
      <t xml:space="preserve">= </t>
    </r>
  </si>
  <si>
    <r>
      <t>Slope of the curve linking AG</t>
    </r>
    <r>
      <rPr>
        <vertAlign val="subscript"/>
        <sz val="10"/>
        <rFont val="Arial"/>
        <family val="2"/>
        <charset val="204"/>
      </rPr>
      <t>DM(T)</t>
    </r>
    <r>
      <rPr>
        <sz val="10"/>
        <rFont val="Arial"/>
        <charset val="204"/>
      </rPr>
      <t xml:space="preserve"> with crop yields</t>
    </r>
  </si>
  <si>
    <r>
      <t>Value of AG</t>
    </r>
    <r>
      <rPr>
        <vertAlign val="subscript"/>
        <sz val="10"/>
        <rFont val="Arial"/>
        <family val="2"/>
        <charset val="204"/>
      </rPr>
      <t xml:space="preserve">DM(T) </t>
    </r>
    <r>
      <rPr>
        <sz val="10"/>
        <rFont val="Arial"/>
        <charset val="204"/>
      </rPr>
      <t>at crop yield = 0</t>
    </r>
  </si>
  <si>
    <r>
      <t>See IPCC 2006, chapter 11 on N</t>
    </r>
    <r>
      <rPr>
        <b/>
        <vertAlign val="subscript"/>
        <sz val="10"/>
        <rFont val="Arial"/>
        <family val="2"/>
        <charset val="204"/>
      </rPr>
      <t>2</t>
    </r>
    <r>
      <rPr>
        <b/>
        <sz val="10"/>
        <rFont val="Arial"/>
        <family val="2"/>
        <charset val="204"/>
      </rPr>
      <t>O emissions, for more details</t>
    </r>
  </si>
  <si>
    <r>
      <t>N</t>
    </r>
    <r>
      <rPr>
        <vertAlign val="subscript"/>
        <sz val="10"/>
        <rFont val="Arial"/>
        <family val="2"/>
        <charset val="204"/>
      </rPr>
      <t>BG</t>
    </r>
    <r>
      <rPr>
        <sz val="10"/>
        <rFont val="Arial"/>
        <charset val="204"/>
      </rPr>
      <t xml:space="preserve"> = </t>
    </r>
  </si>
  <si>
    <r>
      <t>R</t>
    </r>
    <r>
      <rPr>
        <vertAlign val="subscript"/>
        <sz val="10"/>
        <rFont val="Arial"/>
        <family val="2"/>
        <charset val="204"/>
      </rPr>
      <t>BG(T)</t>
    </r>
    <r>
      <rPr>
        <sz val="10"/>
        <rFont val="Arial"/>
        <charset val="204"/>
      </rPr>
      <t xml:space="preserve"> = </t>
    </r>
  </si>
  <si>
    <r>
      <t xml:space="preserve"> BG</t>
    </r>
    <r>
      <rPr>
        <vertAlign val="subscript"/>
        <sz val="10"/>
        <rFont val="Arial"/>
        <family val="2"/>
        <charset val="204"/>
      </rPr>
      <t>DM(T)</t>
    </r>
    <r>
      <rPr>
        <sz val="10"/>
        <rFont val="Arial"/>
        <charset val="204"/>
      </rPr>
      <t xml:space="preserve"> = </t>
    </r>
  </si>
  <si>
    <t xml:space="preserve">LHV (MJ/kg) = </t>
  </si>
  <si>
    <t>Low Heating Value</t>
  </si>
  <si>
    <t>N contend of below-ground residue</t>
  </si>
  <si>
    <t>Ratio of below-ground residues to above-ground biomass</t>
  </si>
  <si>
    <t xml:space="preserve"> Ratio of below-ground residues to harvested yield for crop T</t>
  </si>
  <si>
    <t>Below ground residue (dry matter)</t>
  </si>
  <si>
    <t>Ratio of above-ground residues dry matter (AGDM(T))</t>
  </si>
  <si>
    <t xml:space="preserve"> to harvested yield for crop T (Crop(T))</t>
  </si>
  <si>
    <t>Above ground Residue (dry matter)</t>
  </si>
  <si>
    <t xml:space="preserve">(T) = </t>
  </si>
  <si>
    <t>Related to the crop T</t>
  </si>
  <si>
    <t>source : IPCC 2006</t>
  </si>
  <si>
    <r>
      <t xml:space="preserve">Please, </t>
    </r>
    <r>
      <rPr>
        <b/>
        <u/>
        <sz val="10"/>
        <color indexed="62"/>
        <rFont val="Arial"/>
        <family val="2"/>
        <charset val="204"/>
      </rPr>
      <t>fill in the white cells in column C</t>
    </r>
    <r>
      <rPr>
        <b/>
        <sz val="10"/>
        <color indexed="62"/>
        <rFont val="Arial"/>
        <family val="2"/>
        <charset val="204"/>
      </rPr>
      <t xml:space="preserve"> and report the result obtained at the bottom of the page in your pathway.</t>
    </r>
  </si>
  <si>
    <r>
      <t>N</t>
    </r>
    <r>
      <rPr>
        <b/>
        <vertAlign val="subscript"/>
        <sz val="10"/>
        <rFont val="Arial"/>
        <family val="2"/>
        <charset val="204"/>
      </rPr>
      <t>2</t>
    </r>
    <r>
      <rPr>
        <b/>
        <sz val="10"/>
        <rFont val="Arial"/>
        <family val="2"/>
        <charset val="204"/>
      </rPr>
      <t>O from atmospheric deposition of N volatilised:</t>
    </r>
  </si>
  <si>
    <r>
      <t>Emission of N</t>
    </r>
    <r>
      <rPr>
        <b/>
        <vertAlign val="subscript"/>
        <sz val="10"/>
        <rFont val="Arial"/>
        <family val="2"/>
        <charset val="204"/>
      </rPr>
      <t>2</t>
    </r>
    <r>
      <rPr>
        <b/>
        <sz val="10"/>
        <rFont val="Arial"/>
        <family val="2"/>
        <charset val="204"/>
      </rPr>
      <t xml:space="preserve">O from nitrate leaching effect: </t>
    </r>
  </si>
  <si>
    <t>Eq.11.9</t>
  </si>
  <si>
    <t>Eq.11.10</t>
  </si>
  <si>
    <t xml:space="preserve">Tables are given in the right part of the sheet to give you intermediate data and calculation details from IPCC tier 1. </t>
  </si>
  <si>
    <t>General information</t>
  </si>
  <si>
    <t>Specific information for some imported crops</t>
  </si>
  <si>
    <t xml:space="preserve">Abbreviation glossary : </t>
  </si>
  <si>
    <t>fm</t>
  </si>
  <si>
    <t>dm</t>
  </si>
  <si>
    <t>t</t>
  </si>
  <si>
    <t>N2O_N</t>
  </si>
  <si>
    <r>
      <t>Calculation of N</t>
    </r>
    <r>
      <rPr>
        <b/>
        <vertAlign val="subscript"/>
        <sz val="14"/>
        <color indexed="9"/>
        <rFont val="Arial"/>
        <family val="2"/>
        <charset val="204"/>
      </rPr>
      <t>2</t>
    </r>
    <r>
      <rPr>
        <b/>
        <sz val="14"/>
        <color indexed="9"/>
        <rFont val="Arial"/>
        <family val="2"/>
        <charset val="204"/>
      </rPr>
      <t>O emissions using the IPCC methodology</t>
    </r>
  </si>
  <si>
    <r>
      <t>This sheet calculates the emissions of N</t>
    </r>
    <r>
      <rPr>
        <vertAlign val="subscript"/>
        <sz val="10"/>
        <rFont val="Arial"/>
        <family val="2"/>
        <charset val="204"/>
      </rPr>
      <t>2</t>
    </r>
    <r>
      <rPr>
        <sz val="10"/>
        <rFont val="Arial"/>
        <charset val="204"/>
      </rPr>
      <t>O from the cultivation of the crop</t>
    </r>
  </si>
  <si>
    <r>
      <t>N mass in N</t>
    </r>
    <r>
      <rPr>
        <vertAlign val="subscript"/>
        <sz val="10"/>
        <rFont val="Arial"/>
        <family val="2"/>
        <charset val="204"/>
      </rPr>
      <t>2</t>
    </r>
    <r>
      <rPr>
        <sz val="10"/>
        <rFont val="Arial"/>
        <charset val="204"/>
      </rPr>
      <t>O</t>
    </r>
  </si>
  <si>
    <r>
      <t>TOTAL N</t>
    </r>
    <r>
      <rPr>
        <b/>
        <vertAlign val="subscript"/>
        <sz val="14"/>
        <color indexed="9"/>
        <rFont val="Arial"/>
        <family val="2"/>
        <charset val="204"/>
      </rPr>
      <t>2</t>
    </r>
    <r>
      <rPr>
        <b/>
        <sz val="14"/>
        <color indexed="9"/>
        <rFont val="Arial"/>
        <family val="2"/>
        <charset val="204"/>
      </rPr>
      <t>O EMISSIONS (Direct + Indirect N</t>
    </r>
    <r>
      <rPr>
        <b/>
        <vertAlign val="subscript"/>
        <sz val="14"/>
        <color indexed="9"/>
        <rFont val="Arial"/>
        <family val="2"/>
        <charset val="204"/>
      </rPr>
      <t>2</t>
    </r>
    <r>
      <rPr>
        <b/>
        <sz val="14"/>
        <color indexed="9"/>
        <rFont val="Arial"/>
        <family val="2"/>
        <charset val="204"/>
      </rPr>
      <t>O) from managed soils (Tier1)</t>
    </r>
  </si>
  <si>
    <t>Default value used by RED</t>
  </si>
  <si>
    <t xml:space="preserve"> Text appears when the adequate imported crop is selected in the above section (cell C15).</t>
  </si>
  <si>
    <t>Is the soil water saturation high ?</t>
  </si>
  <si>
    <t>(1) Rainy season: period when rainfall &gt; 0.5 * Pan Evaporation</t>
  </si>
  <si>
    <t>data appears only when required</t>
  </si>
  <si>
    <r>
      <t>Calculated Direct N</t>
    </r>
    <r>
      <rPr>
        <vertAlign val="subscript"/>
        <sz val="10"/>
        <rFont val="Arial"/>
        <family val="2"/>
        <charset val="204"/>
      </rPr>
      <t>2</t>
    </r>
    <r>
      <rPr>
        <sz val="10"/>
        <rFont val="Arial"/>
        <charset val="204"/>
      </rPr>
      <t>O emissions</t>
    </r>
  </si>
  <si>
    <t>Emission factor for direct emission (IPCC Tier 1)</t>
  </si>
  <si>
    <t>Emission factor for Nitrate leaching (IPCC Tier 1):</t>
  </si>
  <si>
    <r>
      <t>N</t>
    </r>
    <r>
      <rPr>
        <vertAlign val="subscript"/>
        <sz val="10"/>
        <rFont val="Arial"/>
        <family val="2"/>
        <charset val="204"/>
      </rPr>
      <t>2</t>
    </r>
    <r>
      <rPr>
        <sz val="10"/>
        <rFont val="Arial"/>
        <charset val="204"/>
      </rPr>
      <t>O(ATD)-N</t>
    </r>
  </si>
  <si>
    <r>
      <t>N</t>
    </r>
    <r>
      <rPr>
        <vertAlign val="subscript"/>
        <sz val="10"/>
        <rFont val="Arial"/>
        <family val="2"/>
        <charset val="204"/>
      </rPr>
      <t>2</t>
    </r>
    <r>
      <rPr>
        <sz val="10"/>
        <rFont val="Arial"/>
        <charset val="204"/>
      </rPr>
      <t>O(L)-N</t>
    </r>
  </si>
  <si>
    <r>
      <t>Quantity of NH</t>
    </r>
    <r>
      <rPr>
        <vertAlign val="subscript"/>
        <sz val="10"/>
        <rFont val="Arial"/>
        <family val="2"/>
        <charset val="204"/>
      </rPr>
      <t>3</t>
    </r>
    <r>
      <rPr>
        <sz val="10"/>
        <rFont val="Arial"/>
        <charset val="204"/>
      </rPr>
      <t xml:space="preserve"> volatilized(IPCC Tier 1): </t>
    </r>
  </si>
  <si>
    <t>Quantity of nitrate leaching (IPCC Tier 1):</t>
  </si>
  <si>
    <r>
      <t>NH</t>
    </r>
    <r>
      <rPr>
        <b/>
        <vertAlign val="subscript"/>
        <sz val="10"/>
        <rFont val="Arial"/>
        <family val="2"/>
        <charset val="204"/>
      </rPr>
      <t xml:space="preserve">3 </t>
    </r>
  </si>
  <si>
    <r>
      <t>NO</t>
    </r>
    <r>
      <rPr>
        <b/>
        <vertAlign val="subscript"/>
        <sz val="10"/>
        <rFont val="Arial"/>
        <family val="2"/>
        <charset val="204"/>
      </rPr>
      <t>3</t>
    </r>
  </si>
  <si>
    <r>
      <t>NH</t>
    </r>
    <r>
      <rPr>
        <vertAlign val="subscript"/>
        <sz val="10"/>
        <rFont val="Arial"/>
        <family val="2"/>
        <charset val="204"/>
      </rPr>
      <t>3</t>
    </r>
    <r>
      <rPr>
        <sz val="10"/>
        <rFont val="Arial"/>
        <charset val="204"/>
      </rPr>
      <t>_N (kg)</t>
    </r>
  </si>
  <si>
    <r>
      <t>NO</t>
    </r>
    <r>
      <rPr>
        <vertAlign val="subscript"/>
        <sz val="10"/>
        <rFont val="Arial"/>
        <family val="2"/>
        <charset val="204"/>
      </rPr>
      <t>3</t>
    </r>
    <r>
      <rPr>
        <sz val="10"/>
        <rFont val="Arial"/>
        <charset val="204"/>
      </rPr>
      <t>_N (kg)</t>
    </r>
  </si>
  <si>
    <t>new crop1</t>
  </si>
  <si>
    <t>new crop2</t>
  </si>
  <si>
    <t>sources</t>
  </si>
  <si>
    <t>New crop1</t>
  </si>
  <si>
    <t>new crop3</t>
  </si>
  <si>
    <t>new crop4</t>
  </si>
  <si>
    <t>New crop2</t>
  </si>
  <si>
    <t>New crop3</t>
  </si>
  <si>
    <t>New crop4</t>
  </si>
  <si>
    <r>
      <t xml:space="preserve">Please, fill in the following cells </t>
    </r>
    <r>
      <rPr>
        <u/>
        <sz val="10"/>
        <color indexed="62"/>
        <rFont val="Arial"/>
        <family val="2"/>
        <charset val="204"/>
      </rPr>
      <t>only when a text appears</t>
    </r>
    <r>
      <rPr>
        <sz val="10"/>
        <color indexed="62"/>
        <rFont val="Arial"/>
        <family val="2"/>
        <charset val="204"/>
      </rPr>
      <t xml:space="preserve">. </t>
    </r>
  </si>
  <si>
    <r>
      <t>TOTAL Direct N</t>
    </r>
    <r>
      <rPr>
        <b/>
        <vertAlign val="subscript"/>
        <sz val="10"/>
        <rFont val="Arial"/>
        <family val="2"/>
        <charset val="204"/>
      </rPr>
      <t>2</t>
    </r>
    <r>
      <rPr>
        <b/>
        <sz val="10"/>
        <rFont val="Arial"/>
        <family val="2"/>
        <charset val="204"/>
      </rPr>
      <t xml:space="preserve">O Emissions : </t>
    </r>
  </si>
  <si>
    <r>
      <t>Indirect N</t>
    </r>
    <r>
      <rPr>
        <b/>
        <vertAlign val="subscript"/>
        <sz val="12"/>
        <color indexed="19"/>
        <rFont val="Arial"/>
        <family val="2"/>
        <charset val="204"/>
      </rPr>
      <t>2</t>
    </r>
    <r>
      <rPr>
        <b/>
        <sz val="12"/>
        <color indexed="19"/>
        <rFont val="Arial"/>
        <family val="2"/>
        <charset val="204"/>
      </rPr>
      <t>O emissions from managed soils (Tier1)</t>
    </r>
  </si>
  <si>
    <t>per kg dm</t>
  </si>
  <si>
    <t>per MJ of crop</t>
  </si>
  <si>
    <t>Table 1 : Crops covered in this tool</t>
  </si>
  <si>
    <t>Table 2</t>
  </si>
  <si>
    <t>Table 3</t>
  </si>
  <si>
    <t>Table 4</t>
  </si>
  <si>
    <r>
      <t xml:space="preserve">Data for 7 crops are available in this tool. </t>
    </r>
    <r>
      <rPr>
        <u/>
        <sz val="10"/>
        <rFont val="Arial"/>
        <family val="2"/>
        <charset val="204"/>
      </rPr>
      <t>Please note that you can add crops by filling table 1 and table 4.</t>
    </r>
  </si>
  <si>
    <t>Eq 11.8</t>
  </si>
  <si>
    <t>t/ha/year</t>
  </si>
  <si>
    <t>Please, calculate this value by using the LUC sheet</t>
  </si>
  <si>
    <t xml:space="preserve">What type of land use change is it ? </t>
  </si>
  <si>
    <t>Forest to arable</t>
  </si>
  <si>
    <t>Undetermined</t>
  </si>
  <si>
    <t>Meadow to arable</t>
  </si>
  <si>
    <t>Specific information in case of Land Use Change or modified management practices</t>
  </si>
  <si>
    <t>Arable to arable land</t>
  </si>
  <si>
    <t>Other</t>
  </si>
  <si>
    <t xml:space="preserve">Use "arable to arable land" in case of modified practices </t>
  </si>
  <si>
    <t>R1</t>
  </si>
  <si>
    <t>R2</t>
  </si>
  <si>
    <r>
      <t>CF</t>
    </r>
    <r>
      <rPr>
        <vertAlign val="subscript"/>
        <sz val="10"/>
        <rFont val="Arial"/>
        <family val="2"/>
        <charset val="204"/>
      </rPr>
      <t>LI</t>
    </r>
  </si>
  <si>
    <r>
      <t>C</t>
    </r>
    <r>
      <rPr>
        <vertAlign val="subscript"/>
        <sz val="10"/>
        <rFont val="Arial"/>
        <family val="2"/>
        <charset val="204"/>
      </rPr>
      <t>LI</t>
    </r>
  </si>
  <si>
    <r>
      <t>C</t>
    </r>
    <r>
      <rPr>
        <vertAlign val="subscript"/>
        <sz val="10"/>
        <rFont val="Arial"/>
        <family val="2"/>
        <charset val="204"/>
      </rPr>
      <t>veg</t>
    </r>
  </si>
  <si>
    <t>t carbon / ha</t>
  </si>
  <si>
    <t xml:space="preserve">Reference land use : </t>
  </si>
  <si>
    <r>
      <t>To be reported in C</t>
    </r>
    <r>
      <rPr>
        <vertAlign val="subscript"/>
        <sz val="10"/>
        <rFont val="Arial"/>
        <family val="2"/>
        <charset val="204"/>
      </rPr>
      <t>VEG</t>
    </r>
    <r>
      <rPr>
        <sz val="10"/>
        <rFont val="Arial"/>
        <charset val="204"/>
      </rPr>
      <t xml:space="preserve"> for reference land use</t>
    </r>
  </si>
  <si>
    <t xml:space="preserve">Actual land use : </t>
  </si>
  <si>
    <r>
      <t>To be reported in C</t>
    </r>
    <r>
      <rPr>
        <vertAlign val="subscript"/>
        <sz val="10"/>
        <rFont val="Arial"/>
        <family val="2"/>
        <charset val="204"/>
      </rPr>
      <t>VEG</t>
    </r>
    <r>
      <rPr>
        <sz val="10"/>
        <rFont val="Arial"/>
        <charset val="204"/>
      </rPr>
      <t xml:space="preserve"> for Actual land use</t>
    </r>
  </si>
  <si>
    <r>
      <t>C</t>
    </r>
    <r>
      <rPr>
        <b/>
        <vertAlign val="subscript"/>
        <sz val="10"/>
        <rFont val="Arial"/>
        <family val="2"/>
        <charset val="204"/>
      </rPr>
      <t>veg</t>
    </r>
    <r>
      <rPr>
        <b/>
        <sz val="10"/>
        <rFont val="Arial"/>
        <family val="2"/>
        <charset val="204"/>
      </rPr>
      <t xml:space="preserve"> calculation, if carried out under point 5 of the Commission Decision : details of the calculation</t>
    </r>
  </si>
  <si>
    <t xml:space="preserve">Details about sources : </t>
  </si>
  <si>
    <t>For more explaination, please read the Commission Decision of the 10 june 2010, point 5.</t>
  </si>
  <si>
    <t>data given in purple are suggestion from the Commission Decision</t>
  </si>
  <si>
    <r>
      <t>CF</t>
    </r>
    <r>
      <rPr>
        <vertAlign val="subscript"/>
        <sz val="10"/>
        <rFont val="Arial"/>
        <family val="2"/>
        <charset val="204"/>
      </rPr>
      <t>B</t>
    </r>
    <r>
      <rPr>
        <sz val="10"/>
        <rFont val="Arial"/>
        <charset val="204"/>
      </rPr>
      <t xml:space="preserve"> (or R)</t>
    </r>
  </si>
  <si>
    <r>
      <t>B</t>
    </r>
    <r>
      <rPr>
        <vertAlign val="subscript"/>
        <sz val="10"/>
        <rFont val="Arial"/>
        <family val="2"/>
        <charset val="204"/>
      </rPr>
      <t>BGB</t>
    </r>
    <r>
      <rPr>
        <sz val="10"/>
        <rFont val="Arial"/>
        <charset val="204"/>
      </rPr>
      <t xml:space="preserve"> (or C</t>
    </r>
    <r>
      <rPr>
        <vertAlign val="subscript"/>
        <sz val="10"/>
        <rFont val="Arial"/>
        <family val="2"/>
        <charset val="204"/>
      </rPr>
      <t>AGB</t>
    </r>
    <r>
      <rPr>
        <sz val="10"/>
        <rFont val="Arial"/>
        <charset val="204"/>
      </rPr>
      <t>)</t>
    </r>
  </si>
  <si>
    <t xml:space="preserve">In this case, you should use "Actual calculation" module because no predefined SOC values are given. 
</t>
  </si>
  <si>
    <t>Option 2. Use of actual Soil Organic Carbon data</t>
  </si>
  <si>
    <t xml:space="preserve">When does the land use change occurs ? </t>
  </si>
  <si>
    <t>Give the year of LUC. LUC should be taken into account 20 years after the land use change occurs.</t>
  </si>
  <si>
    <t xml:space="preserve">When does improved practices started? </t>
  </si>
  <si>
    <t>Give the year of start of implementation of improved agricultural practices.</t>
  </si>
  <si>
    <t xml:space="preserve">- In the case of sugar cane, N of above ground residues are not calculated using the IPCC methods. Alternatively additions of vinasse and filter cake are considered. These additions can be changed by the user. </t>
  </si>
  <si>
    <t>- In the case of palm trees, N of above ground residues are calculated by the JEC considering that  0.22 t dry residues are returned to the field per wet t of FFB. This fraction is allowed to be changed by the user. The nitrogen content of the crop residues returned to the field amounts to 1.1% of the dry mass.</t>
  </si>
  <si>
    <t>For following crops (imported feedstocks) the additional hypothesis used in JEC calculations have been incorporated :</t>
  </si>
  <si>
    <r>
      <t>e</t>
    </r>
    <r>
      <rPr>
        <b/>
        <vertAlign val="subscript"/>
        <sz val="10"/>
        <rFont val="Arial"/>
        <family val="2"/>
        <charset val="204"/>
      </rPr>
      <t>sca</t>
    </r>
    <r>
      <rPr>
        <b/>
        <sz val="10"/>
        <rFont val="Arial"/>
        <family val="2"/>
        <charset val="204"/>
      </rPr>
      <t xml:space="preserve"> value that will be used in calculations : </t>
    </r>
  </si>
  <si>
    <t xml:space="preserve">Value to report in your pathway : </t>
  </si>
  <si>
    <r>
      <t>N</t>
    </r>
    <r>
      <rPr>
        <b/>
        <u/>
        <vertAlign val="subscript"/>
        <sz val="10"/>
        <rFont val="Arial"/>
        <family val="2"/>
        <charset val="204"/>
      </rPr>
      <t>2</t>
    </r>
    <r>
      <rPr>
        <b/>
        <u/>
        <sz val="10"/>
        <rFont val="Arial"/>
        <family val="2"/>
        <charset val="204"/>
      </rPr>
      <t>O emissions from N inputs:</t>
    </r>
  </si>
  <si>
    <t>source : from IPCC 2006</t>
  </si>
  <si>
    <t>average</t>
  </si>
  <si>
    <r>
      <t>Other direct N</t>
    </r>
    <r>
      <rPr>
        <b/>
        <u/>
        <vertAlign val="subscript"/>
        <sz val="10"/>
        <rFont val="Arial"/>
        <family val="2"/>
        <charset val="204"/>
      </rPr>
      <t>2</t>
    </r>
    <r>
      <rPr>
        <b/>
        <u/>
        <sz val="10"/>
        <rFont val="Arial"/>
        <family val="2"/>
        <charset val="204"/>
      </rPr>
      <t>O emissions (trash burning)</t>
    </r>
  </si>
  <si>
    <r>
      <t>TOTAL direct N</t>
    </r>
    <r>
      <rPr>
        <b/>
        <u/>
        <vertAlign val="subscript"/>
        <sz val="10"/>
        <rFont val="Arial"/>
        <family val="2"/>
        <charset val="204"/>
      </rPr>
      <t>2</t>
    </r>
    <r>
      <rPr>
        <b/>
        <u/>
        <sz val="10"/>
        <rFont val="Arial"/>
        <family val="2"/>
        <charset val="204"/>
      </rPr>
      <t>O emissions</t>
    </r>
  </si>
  <si>
    <t xml:space="preserve">min </t>
  </si>
  <si>
    <t>%</t>
  </si>
  <si>
    <r>
      <t>(AG</t>
    </r>
    <r>
      <rPr>
        <b/>
        <vertAlign val="subscript"/>
        <sz val="10"/>
        <rFont val="Arial"/>
        <family val="2"/>
        <charset val="204"/>
      </rPr>
      <t>DM(T)</t>
    </r>
    <r>
      <rPr>
        <b/>
        <sz val="10"/>
        <rFont val="Arial"/>
        <family val="2"/>
        <charset val="204"/>
      </rPr>
      <t>*1000+Crop(T))/Crop(T)</t>
    </r>
  </si>
  <si>
    <t>Sugar beet</t>
  </si>
  <si>
    <t>Sunflowerseed</t>
  </si>
  <si>
    <t>BioOil (byproduct FAME from waste oil)</t>
  </si>
  <si>
    <t>Rapeseed meal</t>
  </si>
  <si>
    <t>Soy bean meal</t>
  </si>
  <si>
    <t>Sugar beet pulp</t>
  </si>
  <si>
    <t>Sugar beet slops</t>
  </si>
  <si>
    <t>Electricity</t>
  </si>
  <si>
    <t xml:space="preserve">Conversion inputs </t>
  </si>
  <si>
    <t>n-Hexane</t>
  </si>
  <si>
    <t>Sodium Hydroxide (NaOH)</t>
  </si>
  <si>
    <t>Potassium hydroxide (KOH)</t>
  </si>
  <si>
    <t>Hydrogen (for HVO)</t>
  </si>
  <si>
    <t xml:space="preserve">Transport efficiencies </t>
  </si>
  <si>
    <t>Truck for dry product (Diesel)</t>
  </si>
  <si>
    <t>Truck for FFB transport (Diesel)</t>
  </si>
  <si>
    <t>Ocean bulk carrier (Fuel oil)</t>
  </si>
  <si>
    <t>Ship /product tanker 50kt (Fuel oil)</t>
  </si>
  <si>
    <t>Local (10 km) pipeline</t>
  </si>
  <si>
    <t>Rail (Electric, MV)</t>
  </si>
  <si>
    <r>
      <t>CO</t>
    </r>
    <r>
      <rPr>
        <vertAlign val="subscript"/>
        <sz val="10"/>
        <rFont val="Verdana"/>
        <family val="2"/>
        <charset val="204"/>
      </rPr>
      <t>2</t>
    </r>
  </si>
  <si>
    <r>
      <t>CH</t>
    </r>
    <r>
      <rPr>
        <vertAlign val="subscript"/>
        <sz val="10"/>
        <rFont val="Verdana"/>
        <family val="2"/>
        <charset val="204"/>
      </rPr>
      <t>4</t>
    </r>
  </si>
  <si>
    <r>
      <t>N</t>
    </r>
    <r>
      <rPr>
        <vertAlign val="subscript"/>
        <sz val="10"/>
        <rFont val="Verdana"/>
        <family val="2"/>
        <charset val="204"/>
      </rPr>
      <t>2</t>
    </r>
    <r>
      <rPr>
        <sz val="10"/>
        <rFont val="Verdana"/>
        <charset val="204"/>
      </rPr>
      <t>O</t>
    </r>
  </si>
  <si>
    <r>
      <t>Sodium carbonate (Na</t>
    </r>
    <r>
      <rPr>
        <vertAlign val="subscript"/>
        <sz val="10"/>
        <rFont val="Verdana"/>
        <family val="2"/>
        <charset val="204"/>
      </rPr>
      <t>2</t>
    </r>
    <r>
      <rPr>
        <sz val="10"/>
        <rFont val="Verdana"/>
        <charset val="204"/>
      </rPr>
      <t>CO</t>
    </r>
    <r>
      <rPr>
        <vertAlign val="subscript"/>
        <sz val="10"/>
        <rFont val="Verdana"/>
        <family val="2"/>
        <charset val="204"/>
      </rPr>
      <t>3</t>
    </r>
    <r>
      <rPr>
        <sz val="10"/>
        <rFont val="Verdana"/>
        <charset val="204"/>
      </rPr>
      <t>)</t>
    </r>
  </si>
  <si>
    <r>
      <t>Sulphuric acid (H</t>
    </r>
    <r>
      <rPr>
        <vertAlign val="subscript"/>
        <sz val="10"/>
        <rFont val="Verdana"/>
        <family val="2"/>
        <charset val="204"/>
      </rPr>
      <t>2</t>
    </r>
    <r>
      <rPr>
        <sz val="10"/>
        <rFont val="Verdana"/>
        <charset val="204"/>
      </rPr>
      <t>SO</t>
    </r>
    <r>
      <rPr>
        <vertAlign val="subscript"/>
        <sz val="10"/>
        <rFont val="Verdana"/>
        <family val="2"/>
        <charset val="204"/>
      </rPr>
      <t>4</t>
    </r>
    <r>
      <rPr>
        <sz val="10"/>
        <rFont val="Verdana"/>
        <charset val="204"/>
      </rPr>
      <t>)</t>
    </r>
  </si>
  <si>
    <t>Electricity EU mix LV</t>
  </si>
  <si>
    <t>Electricity EU mix MV</t>
  </si>
  <si>
    <t>User defined standard values</t>
  </si>
  <si>
    <t xml:space="preserve">Fuel  </t>
  </si>
  <si>
    <t>Please, note that positive value means carbon soil accumulation.</t>
  </si>
  <si>
    <t>Please, note that positive value means carbon soil losses</t>
  </si>
  <si>
    <t>Carried by …, review by …, representatif of ….</t>
  </si>
  <si>
    <r>
      <t>There are two ways of getting C</t>
    </r>
    <r>
      <rPr>
        <vertAlign val="subscript"/>
        <sz val="10"/>
        <rFont val="Arial"/>
        <family val="2"/>
        <charset val="204"/>
      </rPr>
      <t>veg</t>
    </r>
    <r>
      <rPr>
        <sz val="10"/>
        <rFont val="Arial"/>
        <charset val="204"/>
      </rPr>
      <t xml:space="preserve"> : </t>
    </r>
  </si>
  <si>
    <t xml:space="preserve">- or you can use predefined data set out in point 8 of the Commission Decision (tables  9 to 18) </t>
  </si>
  <si>
    <t>In this case, please use the "Default calculation" module bellow.</t>
  </si>
  <si>
    <r>
      <t>In this case, you should use "Actual calculation" module for both C</t>
    </r>
    <r>
      <rPr>
        <vertAlign val="subscript"/>
        <sz val="10"/>
        <rFont val="Arial"/>
        <family val="2"/>
        <charset val="204"/>
      </rPr>
      <t>veg</t>
    </r>
    <r>
      <rPr>
        <sz val="10"/>
        <rFont val="Arial"/>
        <charset val="204"/>
      </rPr>
      <t xml:space="preserve"> and SOC.</t>
    </r>
  </si>
  <si>
    <t>Option 1. Default calculation (no actual and acurate data are available)</t>
  </si>
  <si>
    <t>Option 2. Actual calculation Carbon Stocks and Carbon vegetation</t>
  </si>
  <si>
    <r>
      <t>In this case, you should use "Actual calculation" module because no predefined SOC values are given. 
"Default calculation" can help for C</t>
    </r>
    <r>
      <rPr>
        <vertAlign val="subscript"/>
        <sz val="10"/>
        <rFont val="Arial"/>
        <family val="2"/>
        <charset val="204"/>
      </rPr>
      <t>veg</t>
    </r>
    <r>
      <rPr>
        <sz val="10"/>
        <rFont val="Arial"/>
        <charset val="204"/>
      </rPr>
      <t>. Transfer the C</t>
    </r>
    <r>
      <rPr>
        <vertAlign val="subscript"/>
        <sz val="10"/>
        <rFont val="Arial"/>
        <family val="2"/>
        <charset val="204"/>
      </rPr>
      <t>veg</t>
    </r>
    <r>
      <rPr>
        <sz val="10"/>
        <rFont val="Arial"/>
        <charset val="204"/>
      </rPr>
      <t xml:space="preserve"> result in "Actual calculation" module.</t>
    </r>
  </si>
  <si>
    <t>Default with mineral soils</t>
  </si>
  <si>
    <t>Default with organic soils</t>
  </si>
  <si>
    <t>Actual calculation</t>
  </si>
  <si>
    <t>- or you should calculated them following the rules set out in point 5 of Commission Decision. Use the module right to this section for that.</t>
  </si>
  <si>
    <r>
      <t>C</t>
    </r>
    <r>
      <rPr>
        <vertAlign val="subscript"/>
        <sz val="10"/>
        <rFont val="Arial"/>
        <family val="2"/>
        <charset val="204"/>
      </rPr>
      <t>BM</t>
    </r>
  </si>
  <si>
    <t>+</t>
  </si>
  <si>
    <t>=</t>
  </si>
  <si>
    <r>
      <t xml:space="preserve">  C</t>
    </r>
    <r>
      <rPr>
        <vertAlign val="subscript"/>
        <sz val="10"/>
        <rFont val="Arial"/>
        <family val="2"/>
        <charset val="204"/>
      </rPr>
      <t>AGB</t>
    </r>
  </si>
  <si>
    <r>
      <t>CF</t>
    </r>
    <r>
      <rPr>
        <vertAlign val="subscript"/>
        <sz val="10"/>
        <rFont val="Arial"/>
        <family val="2"/>
        <charset val="204"/>
      </rPr>
      <t>B</t>
    </r>
  </si>
  <si>
    <r>
      <t>B</t>
    </r>
    <r>
      <rPr>
        <vertAlign val="subscript"/>
        <sz val="10"/>
        <rFont val="Arial"/>
        <family val="2"/>
        <charset val="204"/>
      </rPr>
      <t>AGD</t>
    </r>
  </si>
  <si>
    <r>
      <t>C</t>
    </r>
    <r>
      <rPr>
        <vertAlign val="subscript"/>
        <sz val="10"/>
        <rFont val="Arial"/>
        <family val="2"/>
        <charset val="204"/>
      </rPr>
      <t>DOM</t>
    </r>
  </si>
  <si>
    <r>
      <t>DOM</t>
    </r>
    <r>
      <rPr>
        <vertAlign val="subscript"/>
        <sz val="10"/>
        <rFont val="Arial"/>
        <family val="2"/>
        <charset val="204"/>
      </rPr>
      <t>DW</t>
    </r>
  </si>
  <si>
    <r>
      <t>C</t>
    </r>
    <r>
      <rPr>
        <vertAlign val="subscript"/>
        <sz val="10"/>
        <rFont val="Arial"/>
        <family val="2"/>
        <charset val="204"/>
      </rPr>
      <t>BW</t>
    </r>
  </si>
  <si>
    <r>
      <t>C</t>
    </r>
    <r>
      <rPr>
        <vertAlign val="subscript"/>
        <sz val="10"/>
        <rFont val="Arial"/>
        <family val="2"/>
        <charset val="204"/>
      </rPr>
      <t>BGD</t>
    </r>
  </si>
  <si>
    <r>
      <t>CF</t>
    </r>
    <r>
      <rPr>
        <vertAlign val="subscript"/>
        <sz val="10"/>
        <rFont val="Arial"/>
        <family val="2"/>
        <charset val="204"/>
      </rPr>
      <t>DW</t>
    </r>
  </si>
  <si>
    <r>
      <t>DOM</t>
    </r>
    <r>
      <rPr>
        <vertAlign val="subscript"/>
        <sz val="10"/>
        <rFont val="Arial"/>
        <family val="2"/>
        <charset val="204"/>
      </rPr>
      <t>LI</t>
    </r>
  </si>
  <si>
    <t xml:space="preserve"> 1. The default values as listed in Annex V.D of the RED. These are rounded values. In the sheets of this Excel file they are listed, in column G, as white numbers in bold format.</t>
  </si>
  <si>
    <t>JEC E3-database (version 31-7-2008)</t>
  </si>
  <si>
    <t>Transport plus fertiliser debit because more fertiliser is required at the cultivation stage if the straw is removed</t>
  </si>
  <si>
    <r>
      <t>ton</t>
    </r>
    <r>
      <rPr>
        <vertAlign val="subscript"/>
        <sz val="10"/>
        <rFont val="Arial"/>
        <family val="2"/>
        <charset val="204"/>
      </rPr>
      <t>DDGS</t>
    </r>
    <r>
      <rPr>
        <sz val="10"/>
        <rFont val="Arial"/>
        <charset val="204"/>
      </rPr>
      <t xml:space="preserve"> / ton</t>
    </r>
    <r>
      <rPr>
        <vertAlign val="subscript"/>
        <sz val="10"/>
        <rFont val="Arial"/>
        <family val="2"/>
        <charset val="204"/>
      </rPr>
      <t>Ethanol</t>
    </r>
  </si>
  <si>
    <t>Cultivation of wheat</t>
  </si>
  <si>
    <r>
      <t>MJ</t>
    </r>
    <r>
      <rPr>
        <vertAlign val="subscript"/>
        <sz val="10"/>
        <rFont val="Arial"/>
        <family val="2"/>
        <charset val="204"/>
      </rPr>
      <t>Ethanol</t>
    </r>
    <r>
      <rPr>
        <sz val="10"/>
        <rFont val="Arial"/>
        <charset val="204"/>
      </rPr>
      <t xml:space="preserve"> / MJ</t>
    </r>
    <r>
      <rPr>
        <vertAlign val="subscript"/>
        <sz val="10"/>
        <rFont val="Arial"/>
        <family val="2"/>
        <charset val="204"/>
      </rPr>
      <t>Wheat</t>
    </r>
  </si>
  <si>
    <t>Transport per</t>
  </si>
  <si>
    <t>Ethanol</t>
  </si>
  <si>
    <t>Methanol</t>
  </si>
  <si>
    <t>Pesticides</t>
  </si>
  <si>
    <t>Manure</t>
  </si>
  <si>
    <t>Gasoline</t>
  </si>
  <si>
    <t>Diesel</t>
  </si>
  <si>
    <t>km</t>
  </si>
  <si>
    <t>Seeding material</t>
  </si>
  <si>
    <t>Rapeseed</t>
  </si>
  <si>
    <t>from</t>
  </si>
  <si>
    <t>LHV</t>
  </si>
  <si>
    <t>MJ/kg</t>
  </si>
  <si>
    <t>HFO</t>
  </si>
  <si>
    <t>Density</t>
  </si>
  <si>
    <t>Wheat straw</t>
  </si>
  <si>
    <t>DDGS</t>
  </si>
  <si>
    <t>Sugar cane</t>
  </si>
  <si>
    <t>Moisture content</t>
  </si>
  <si>
    <t>Pure CaO for processes</t>
  </si>
  <si>
    <t>Ammonia</t>
  </si>
  <si>
    <t>Yield</t>
  </si>
  <si>
    <t>Energy consumption</t>
  </si>
  <si>
    <r>
      <t>kg ha</t>
    </r>
    <r>
      <rPr>
        <vertAlign val="superscript"/>
        <sz val="10"/>
        <rFont val="Arial"/>
        <family val="2"/>
        <charset val="204"/>
      </rPr>
      <t>-1</t>
    </r>
    <r>
      <rPr>
        <sz val="10"/>
        <rFont val="Arial"/>
        <charset val="204"/>
      </rPr>
      <t xml:space="preserve"> year</t>
    </r>
    <r>
      <rPr>
        <vertAlign val="superscript"/>
        <sz val="10"/>
        <rFont val="Arial"/>
        <family val="2"/>
        <charset val="204"/>
      </rPr>
      <t>-1</t>
    </r>
  </si>
  <si>
    <r>
      <t>MJ ha</t>
    </r>
    <r>
      <rPr>
        <vertAlign val="superscript"/>
        <sz val="10"/>
        <rFont val="Arial"/>
        <family val="2"/>
        <charset val="204"/>
      </rPr>
      <t>-1</t>
    </r>
    <r>
      <rPr>
        <sz val="10"/>
        <rFont val="Arial"/>
        <charset val="204"/>
      </rPr>
      <t xml:space="preserve"> year</t>
    </r>
    <r>
      <rPr>
        <vertAlign val="superscript"/>
        <sz val="10"/>
        <rFont val="Arial"/>
        <family val="2"/>
        <charset val="204"/>
      </rPr>
      <t>-1</t>
    </r>
  </si>
  <si>
    <r>
      <t>kg N ha</t>
    </r>
    <r>
      <rPr>
        <vertAlign val="superscript"/>
        <sz val="10"/>
        <rFont val="Arial"/>
        <family val="2"/>
        <charset val="204"/>
      </rPr>
      <t xml:space="preserve">-1 </t>
    </r>
    <r>
      <rPr>
        <sz val="10"/>
        <rFont val="Arial"/>
        <charset val="204"/>
      </rPr>
      <t>year</t>
    </r>
    <r>
      <rPr>
        <vertAlign val="superscript"/>
        <sz val="10"/>
        <rFont val="Arial"/>
        <family val="2"/>
        <charset val="204"/>
      </rPr>
      <t>-1</t>
    </r>
  </si>
  <si>
    <r>
      <t>kg K</t>
    </r>
    <r>
      <rPr>
        <vertAlign val="subscript"/>
        <sz val="10"/>
        <rFont val="Arial"/>
        <family val="2"/>
        <charset val="204"/>
      </rPr>
      <t>2</t>
    </r>
    <r>
      <rPr>
        <sz val="10"/>
        <rFont val="Arial"/>
        <charset val="204"/>
      </rPr>
      <t>O ha</t>
    </r>
    <r>
      <rPr>
        <vertAlign val="superscript"/>
        <sz val="10"/>
        <rFont val="Arial"/>
        <family val="2"/>
        <charset val="204"/>
      </rPr>
      <t>-1</t>
    </r>
    <r>
      <rPr>
        <sz val="10"/>
        <rFont val="Arial"/>
        <charset val="204"/>
      </rPr>
      <t xml:space="preserve"> year</t>
    </r>
    <r>
      <rPr>
        <vertAlign val="superscript"/>
        <sz val="10"/>
        <rFont val="Arial"/>
        <family val="2"/>
        <charset val="204"/>
      </rPr>
      <t>-1</t>
    </r>
  </si>
  <si>
    <r>
      <t>kg P</t>
    </r>
    <r>
      <rPr>
        <vertAlign val="subscript"/>
        <sz val="10"/>
        <rFont val="Arial"/>
        <family val="2"/>
        <charset val="204"/>
      </rPr>
      <t>2</t>
    </r>
    <r>
      <rPr>
        <sz val="10"/>
        <rFont val="Arial"/>
        <charset val="204"/>
      </rPr>
      <t>O</t>
    </r>
    <r>
      <rPr>
        <vertAlign val="subscript"/>
        <sz val="10"/>
        <rFont val="Arial"/>
        <family val="2"/>
        <charset val="204"/>
      </rPr>
      <t>5</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</si>
  <si>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t>Corn</t>
  </si>
  <si>
    <t>Ethanol plant</t>
  </si>
  <si>
    <r>
      <t>MJ</t>
    </r>
    <r>
      <rPr>
        <vertAlign val="subscript"/>
        <sz val="10"/>
        <rFont val="Arial"/>
        <family val="2"/>
        <charset val="204"/>
      </rPr>
      <t>Ethanol</t>
    </r>
    <r>
      <rPr>
        <sz val="10"/>
        <rFont val="Arial"/>
        <charset val="204"/>
      </rPr>
      <t xml:space="preserve"> ha</t>
    </r>
    <r>
      <rPr>
        <vertAlign val="superscript"/>
        <sz val="10"/>
        <rFont val="Arial"/>
        <family val="2"/>
        <charset val="204"/>
      </rPr>
      <t>-1</t>
    </r>
    <r>
      <rPr>
        <sz val="10"/>
        <rFont val="Arial"/>
        <charset val="204"/>
      </rPr>
      <t xml:space="preserve"> year</t>
    </r>
    <r>
      <rPr>
        <vertAlign val="superscript"/>
        <sz val="10"/>
        <rFont val="Arial"/>
        <family val="2"/>
        <charset val="204"/>
      </rPr>
      <t>-1</t>
    </r>
  </si>
  <si>
    <t>to ethanol</t>
  </si>
  <si>
    <t>to DDGS</t>
  </si>
  <si>
    <t>Wheat</t>
  </si>
  <si>
    <t>Glycerol</t>
  </si>
  <si>
    <t>Lignite</t>
  </si>
  <si>
    <t>Crude vegetable oil</t>
  </si>
  <si>
    <t>Soybean oil</t>
  </si>
  <si>
    <t>Soybeans</t>
  </si>
  <si>
    <t>FFB</t>
  </si>
  <si>
    <t>Palm oil</t>
  </si>
  <si>
    <t>Palm kernel meal</t>
  </si>
  <si>
    <t>Agro chemicals</t>
  </si>
  <si>
    <r>
      <t>Field N</t>
    </r>
    <r>
      <rPr>
        <b/>
        <vertAlign val="subscript"/>
        <sz val="10"/>
        <rFont val="Arial"/>
        <family val="2"/>
        <charset val="204"/>
      </rPr>
      <t>2</t>
    </r>
    <r>
      <rPr>
        <b/>
        <sz val="10"/>
        <rFont val="Arial"/>
        <family val="2"/>
        <charset val="204"/>
      </rPr>
      <t>O emissions</t>
    </r>
  </si>
  <si>
    <r>
      <t>g CO</t>
    </r>
    <r>
      <rPr>
        <b/>
        <vertAlign val="subscript"/>
        <sz val="10"/>
        <color indexed="9"/>
        <rFont val="Arial"/>
        <family val="2"/>
        <charset val="204"/>
      </rPr>
      <t>2,eq</t>
    </r>
    <r>
      <rPr>
        <b/>
        <sz val="10"/>
        <color indexed="9"/>
        <rFont val="Arial"/>
        <family val="2"/>
        <charset val="204"/>
      </rPr>
      <t xml:space="preserve"> / MJ</t>
    </r>
    <r>
      <rPr>
        <b/>
        <vertAlign val="subscript"/>
        <sz val="10"/>
        <color indexed="9"/>
        <rFont val="Arial"/>
        <family val="2"/>
        <charset val="204"/>
      </rPr>
      <t>Ethanol</t>
    </r>
  </si>
  <si>
    <t>Calculation per phase</t>
  </si>
  <si>
    <r>
      <t>g CO</t>
    </r>
    <r>
      <rPr>
        <vertAlign val="subscript"/>
        <sz val="10"/>
        <rFont val="Arial"/>
        <family val="2"/>
        <charset val="204"/>
      </rPr>
      <t>2</t>
    </r>
  </si>
  <si>
    <r>
      <t>g CH</t>
    </r>
    <r>
      <rPr>
        <vertAlign val="subscript"/>
        <sz val="10"/>
        <rFont val="Arial"/>
        <family val="2"/>
        <charset val="204"/>
      </rPr>
      <t>4</t>
    </r>
  </si>
  <si>
    <r>
      <t>g N</t>
    </r>
    <r>
      <rPr>
        <vertAlign val="subscript"/>
        <sz val="10"/>
        <rFont val="Arial"/>
        <family val="2"/>
        <charset val="204"/>
      </rPr>
      <t>2</t>
    </r>
    <r>
      <rPr>
        <sz val="10"/>
        <rFont val="Arial"/>
        <charset val="204"/>
      </rPr>
      <t>O</t>
    </r>
  </si>
  <si>
    <r>
      <t>g CO</t>
    </r>
    <r>
      <rPr>
        <vertAlign val="subscript"/>
        <sz val="10"/>
        <rFont val="Arial"/>
        <family val="2"/>
        <charset val="204"/>
      </rPr>
      <t>2, eq</t>
    </r>
  </si>
  <si>
    <t>Energy cons. depot</t>
  </si>
  <si>
    <t>STANDARD VALUES</t>
  </si>
  <si>
    <t xml:space="preserve">parameter: </t>
  </si>
  <si>
    <t>GHG emission coefficient</t>
  </si>
  <si>
    <t>Fossil energy input</t>
  </si>
  <si>
    <t>Source</t>
  </si>
  <si>
    <t>Remark / question</t>
  </si>
  <si>
    <t xml:space="preserve">unit: </t>
  </si>
  <si>
    <t>MJ/t.km</t>
  </si>
  <si>
    <t xml:space="preserve"> (at 0% water)</t>
  </si>
  <si>
    <t xml:space="preserve">Agro inputs </t>
  </si>
  <si>
    <t>Seeds- corn</t>
  </si>
  <si>
    <t>Seeds- rapeseed</t>
  </si>
  <si>
    <t>Seeds- soy bean</t>
  </si>
  <si>
    <t>Seeds- sugarbeet</t>
  </si>
  <si>
    <t>Seeds- sugarcane</t>
  </si>
  <si>
    <t>Seeds- sunflower</t>
  </si>
  <si>
    <t>Seeds- wheat</t>
  </si>
  <si>
    <t>EFB compost (palm oil)</t>
  </si>
  <si>
    <t xml:space="preserve">Fuels- gasses </t>
  </si>
  <si>
    <t>WTT Appendix 1 (v3) paragraph 2.1 &amp; 3 (Z1)</t>
  </si>
  <si>
    <t>WTT Appendix 1 (v3) paragraph 2.1 &amp; 6.1 (GA1)</t>
  </si>
  <si>
    <t>FAME</t>
  </si>
  <si>
    <t>or "XME" which is RME, PME, SME etc</t>
  </si>
  <si>
    <t>Fuels / feedstock / byproducts - solids</t>
  </si>
  <si>
    <t>Hard coal</t>
  </si>
  <si>
    <r>
      <t xml:space="preserve"> In cases where the carbon stock accumulates over more than one year, the value attributed to CS</t>
    </r>
    <r>
      <rPr>
        <i/>
        <vertAlign val="subscript"/>
        <sz val="10"/>
        <rFont val="Arial"/>
        <family val="2"/>
        <charset val="204"/>
      </rPr>
      <t>A</t>
    </r>
    <r>
      <rPr>
        <i/>
        <sz val="10"/>
        <rFont val="Arial"/>
        <family val="2"/>
        <charset val="204"/>
      </rPr>
      <t xml:space="preserve"> shall be the estimated stock per unit area after 20 years, </t>
    </r>
  </si>
  <si>
    <t xml:space="preserve">  or the stock when the crop reaches maturity, whichever the earlier. These calculation rules are already taken into account in this sheet for the default calculation.</t>
  </si>
  <si>
    <t>Comments</t>
  </si>
  <si>
    <t>A</t>
  </si>
  <si>
    <r>
      <t>CH</t>
    </r>
    <r>
      <rPr>
        <vertAlign val="subscript"/>
        <sz val="10"/>
        <rFont val="Arial"/>
        <family val="2"/>
        <charset val="204"/>
      </rPr>
      <t>4</t>
    </r>
    <r>
      <rPr>
        <sz val="10"/>
        <rFont val="Arial"/>
        <charset val="204"/>
      </rPr>
      <t xml:space="preserve"> and N</t>
    </r>
    <r>
      <rPr>
        <vertAlign val="subscript"/>
        <sz val="10"/>
        <rFont val="Arial"/>
        <family val="2"/>
        <charset val="204"/>
      </rPr>
      <t>2</t>
    </r>
    <r>
      <rPr>
        <sz val="10"/>
        <rFont val="Arial"/>
        <charset val="204"/>
      </rPr>
      <t>O emissions from Lignite CHP</t>
    </r>
  </si>
  <si>
    <t>This Excel file was delivered from the IEE project BioGrace. More information on this project is available at</t>
  </si>
  <si>
    <t>www.biograce.net.</t>
  </si>
  <si>
    <t>The sole responsibility for the content of this Excel file lies with the authors. It does not necessarily reflect the opinion of the European Union. The European Commission is not responsible for any use that may be made of the information contained therein.</t>
  </si>
  <si>
    <r>
      <t>Input numbers</t>
    </r>
    <r>
      <rPr>
        <sz val="10"/>
        <rFont val="Arial"/>
        <charset val="204"/>
      </rPr>
      <t xml:space="preserve"> used are listed in the Excel sheets showing the calculations. These input data can of course be changed to make calculations with actual data.</t>
    </r>
  </si>
  <si>
    <r>
      <t>Standard values</t>
    </r>
    <r>
      <rPr>
        <sz val="10"/>
        <rFont val="Arial"/>
        <charset val="204"/>
      </rPr>
      <t xml:space="preserve"> used are listed in the sheet "Standard values" in this Excel file. This sheet is protected.</t>
    </r>
  </si>
  <si>
    <t>Modified or new biofuel production chains</t>
  </si>
  <si>
    <t xml:space="preserve">The Excel sheets can also be used to set up a new calculation of a modified or even new biofuel production chain. This requires some knowledge of Excel and a detailed studying of how calculations are made. </t>
  </si>
  <si>
    <t>Results are expressed as "Default values"</t>
  </si>
  <si>
    <t xml:space="preserve">In the top part of the calculation sheets, the results are compared with the default values as listed in the RED. Two kind of figures are given for comparison: </t>
  </si>
  <si>
    <t>BioGrace project that delivered this Excel sheet</t>
  </si>
  <si>
    <t>Intelligent Energy for Europe</t>
  </si>
  <si>
    <t xml:space="preserve">The BioGrace project receives financial support from the IEE programme which is gratefully acknowledged. Information on IEE can be found at </t>
  </si>
  <si>
    <t>http://ec.europa.eu/energy/intelligent/</t>
  </si>
  <si>
    <r>
      <t>Значення, що необхідні для конвертації вхідних даних  у викиди парникових газів.
Наприклад, значення нижчої теплоти згорання та величина конвертації 1 кг азотних добрив або 1 МДж природного газу в показники викидів  СО</t>
    </r>
    <r>
      <rPr>
        <vertAlign val="subscript"/>
        <sz val="10"/>
        <color indexed="8"/>
        <rFont val="Arial"/>
        <family val="2"/>
        <charset val="204"/>
      </rPr>
      <t>2</t>
    </r>
    <r>
      <rPr>
        <sz val="10"/>
        <color indexed="8"/>
        <rFont val="Arial"/>
        <family val="2"/>
        <charset val="204"/>
      </rPr>
      <t>, CH</t>
    </r>
    <r>
      <rPr>
        <vertAlign val="subscript"/>
        <sz val="10"/>
        <color indexed="8"/>
        <rFont val="Arial"/>
        <family val="2"/>
        <charset val="204"/>
      </rPr>
      <t>4</t>
    </r>
    <r>
      <rPr>
        <sz val="10"/>
        <color indexed="8"/>
        <rFont val="Arial"/>
        <family val="2"/>
        <charset val="204"/>
      </rPr>
      <t xml:space="preserve"> і N</t>
    </r>
    <r>
      <rPr>
        <vertAlign val="subscript"/>
        <sz val="10"/>
        <color indexed="8"/>
        <rFont val="Arial"/>
        <family val="2"/>
        <charset val="204"/>
      </rPr>
      <t>2</t>
    </r>
    <r>
      <rPr>
        <sz val="10"/>
        <color indexed="8"/>
        <rFont val="Arial"/>
        <family val="2"/>
        <charset val="204"/>
      </rPr>
      <t>O.
Дані для стандартних значень також були розраховані з використанням аналізу життєвого циклу (ЖЦ) обох процесів, що постачають вхідні продукти (такі як азотні добрива та природний газ) та їх викиди при згорянні.</t>
    </r>
  </si>
  <si>
    <t>Приклад: зазначити назву «Азотні добрива (тип XYZ)» у рядку С аркушу "Стандартні значення, визначені користувачем", і внести значення у стовпці D, E і F. Тоді Ви зможете замінити назву параметру "Азотні добрива" на "Азотні добрива (тип XYZ)" в аркушах з розрахунками.</t>
  </si>
  <si>
    <t>У верхній частині розрахункового листа результати порівнюються зі значеннями за замовчуванням, перерахованими у ДВДЕ. Представлені два види значень для порівняння:</t>
  </si>
  <si>
    <t>1. Значення за замовчуванням, зазначені у ДВДЕ, Додаток V.D. Це округлені значення. В аркушах цього Excel-файлу вони перераховані в колонці G у вигляді значень, які виділені жирним шрифтом білим кольором.</t>
  </si>
  <si>
    <r>
      <t xml:space="preserve">Розраховані </t>
    </r>
    <r>
      <rPr>
        <b/>
        <sz val="10"/>
        <color indexed="18"/>
        <rFont val="Arial"/>
        <family val="2"/>
        <charset val="204"/>
      </rPr>
      <t>скорочення</t>
    </r>
    <r>
      <rPr>
        <b/>
        <sz val="10"/>
        <color theme="3" tint="-0.249977111117893"/>
        <rFont val="Arial"/>
        <family val="2"/>
        <charset val="204"/>
      </rPr>
      <t xml:space="preserve">  можуть </t>
    </r>
    <r>
      <rPr>
        <b/>
        <sz val="10"/>
        <color indexed="18"/>
        <rFont val="Arial"/>
        <family val="2"/>
        <charset val="204"/>
      </rPr>
      <t xml:space="preserve">не </t>
    </r>
    <r>
      <rPr>
        <b/>
        <sz val="10"/>
        <color theme="3" tint="-0.249977111117893"/>
        <rFont val="Arial"/>
        <family val="2"/>
        <charset val="204"/>
      </rPr>
      <t>співпадати зі значеннями за замовчуванням, які зазначені у Додатку V ДВДЕ.</t>
    </r>
  </si>
  <si>
    <r>
      <t>У цьому Excel-файлі, результати, розраховані в г CO</t>
    </r>
    <r>
      <rPr>
        <vertAlign val="subscript"/>
        <sz val="10"/>
        <color indexed="8"/>
        <rFont val="Arial"/>
        <family val="2"/>
        <charset val="204"/>
      </rPr>
      <t>2</t>
    </r>
    <r>
      <rPr>
        <sz val="10"/>
        <color indexed="8"/>
        <rFont val="Arial"/>
        <family val="2"/>
        <charset val="204"/>
      </rPr>
      <t>екв./МДж біопалива у процесі вирощування, транспортування і переробки співпадають з результатами, які зазначені у Додатку V.D ДВДЕ.</t>
    </r>
  </si>
  <si>
    <t>Ці альтернативні значення були досліджені, а однією з цілей цього Excel-файлу було показати, як  розраховані значення за замовчуванням ДВДЕ, Додаток V.</t>
  </si>
  <si>
    <t>На всіх розрахункових Excel-аркушах, вибір може бути зроблений між цими двома варіантами, натиснувши на один з варіантів у жовтому боксі в правому верхньому куті аркуша.</t>
  </si>
  <si>
    <t>Виробництво етанолу з пшениці (невизначений процес переробки палива)</t>
  </si>
  <si>
    <t xml:space="preserve">Виробництво етанолу з цукрового буряку (пара від котла на природному газі) </t>
  </si>
  <si>
    <t>Виробництво етанолу з кукурудзи (спільне виробництво) (пара від ТЕЦ на природному газі)</t>
  </si>
  <si>
    <r>
      <t>У випадках, коли запаси вуглецю акумулюються понад один рік, значення, яке відноситься до СS</t>
    </r>
    <r>
      <rPr>
        <vertAlign val="subscript"/>
        <sz val="10"/>
        <color indexed="8"/>
        <rFont val="Arial"/>
        <family val="2"/>
        <charset val="204"/>
      </rPr>
      <t xml:space="preserve">A </t>
    </r>
    <r>
      <rPr>
        <sz val="10"/>
        <color indexed="8"/>
        <rFont val="Arial"/>
        <family val="2"/>
        <charset val="204"/>
      </rPr>
      <t xml:space="preserve">повинні бути оцінені як вуглецеві запаси на одиницю площі після 20 років або коли культури досягають свого дорослого розміру, в залежності від того, який з цих факторів настає раніше. </t>
    </r>
  </si>
  <si>
    <t>Референтне землекористування визначається як землекористування станом на січень 2008 року чи на 20 років раніше отримання сировинного матеріалу, в залежності від того, який з цих факторів настав раніше.</t>
  </si>
  <si>
    <t xml:space="preserve">Який тип розрахунку Ви хочете використовувати ? </t>
  </si>
  <si>
    <t xml:space="preserve">Фактичні значення </t>
  </si>
  <si>
    <t>В цьому випадку будь ласка використовуйте рохрахунок за замовчуванням в модулі нижче.</t>
  </si>
  <si>
    <r>
      <t>В цьому випадку Ви повинні викоритовувати модуль фактичних розрахнків, тому що немає наперед визначених показників SOC, розрахунки за замовчуванням можуть допомогти в питанні визначення C</t>
    </r>
    <r>
      <rPr>
        <sz val="8"/>
        <rFont val="Arial"/>
        <family val="2"/>
        <charset val="204"/>
      </rPr>
      <t>VEG</t>
    </r>
    <r>
      <rPr>
        <sz val="10"/>
        <rFont val="Arial"/>
        <charset val="204"/>
      </rPr>
      <t>. Переведіть результати C</t>
    </r>
    <r>
      <rPr>
        <sz val="8"/>
        <rFont val="Arial"/>
        <family val="2"/>
        <charset val="204"/>
      </rPr>
      <t>VEG</t>
    </r>
    <r>
      <rPr>
        <sz val="10"/>
        <rFont val="Arial"/>
        <charset val="204"/>
      </rPr>
      <t xml:space="preserve"> в модуль фактичних розрахунків.</t>
    </r>
  </si>
  <si>
    <r>
      <t>В цьому випадку, Вам потрібно використовувати модуль фактичних розрахунків, як для C</t>
    </r>
    <r>
      <rPr>
        <sz val="8"/>
        <rFont val="Arial"/>
        <family val="2"/>
        <charset val="204"/>
      </rPr>
      <t>VEG</t>
    </r>
    <r>
      <rPr>
        <sz val="10"/>
        <rFont val="Arial"/>
        <charset val="204"/>
      </rPr>
      <t xml:space="preserve"> так і для SOС.</t>
    </r>
  </si>
  <si>
    <t xml:space="preserve">Опція 1. Розрахунок за замовчуванням (немає фактичних та точних даних) </t>
  </si>
  <si>
    <t>Розрахунок за замовчуванням базується на рішенні Комісії з наступними припущеннями:</t>
  </si>
  <si>
    <t>Океанічний ліс</t>
  </si>
  <si>
    <t>Високоактивний глинозем</t>
  </si>
  <si>
    <t>Високої якості без гною</t>
  </si>
  <si>
    <t>Кінцева зміна землекористування</t>
  </si>
  <si>
    <t>1. Або Ви можете використовувати обумовлені дані, викладені в пункті 8 Постанови Комісії (таблиці 9 до 18)</t>
  </si>
  <si>
    <t>2. Або Ви повинні розрахувати їх відповідно до правил, викладених у пункті 5 рішення Комісії. Використовуйте цей модуль справа для цього.</t>
  </si>
  <si>
    <t xml:space="preserve">ЗЗК : значення, що буде використане у розрахунках: </t>
  </si>
  <si>
    <t xml:space="preserve">Опція 1. розрахунки за замовчуванням (немає фактичних та точних даних) </t>
  </si>
  <si>
    <t xml:space="preserve">Якого типу розрахунок Ви хочете використовувати ? </t>
  </si>
  <si>
    <t>Цей аркуш подібний до аркуша ЗЗК, що розраховує вуглецеві запаси, акумульовані завдяки покращенню сільськогосподарського менеджменту.</t>
  </si>
  <si>
    <t>Розрахунок поліпшення сільськогосподарського упраління (esca)</t>
  </si>
  <si>
    <t>У тих випадках, коли вуглецеві запаси накопичуються протягом більше одного року, значення, що відносяться до CSA повинні бути оцінені запасами на одиницю площі після 20 років, або на складі, коли врожай досягає зрілості, в залежності від того, який з цих факторів настає раніше. Ці Правила розрахунку вже враховані в цьому аркуші для розрахунку за замовчуванням.</t>
  </si>
  <si>
    <t>за замовчуванням з мінеральними грунтами</t>
  </si>
  <si>
    <t>В цьому випадку будь ласка використовуйте розрахунок за замовчуванням в модулі нижче</t>
  </si>
  <si>
    <t>Розрахунок: Будь ласка оберіть Ваш  тип розрахунку нижче, і потім відповідно заповніть необхідні частини запитальника</t>
  </si>
  <si>
    <t>Фактичні значення</t>
  </si>
  <si>
    <t>В цьому випадку Ви повинні викоритовувати модуль фактичних розрахунків, тому що немає наперед визначених показників SOC.</t>
  </si>
  <si>
    <t xml:space="preserve">Опція 1. Розрахунки за замовчуванням (немає фактичних та точних даних) </t>
  </si>
  <si>
    <t>Розрахунок за замовчуванням базується на Рішенні Комісії з наступними припущеннями:</t>
  </si>
  <si>
    <t>Кінцеві вуглецеві запаси вегетації</t>
  </si>
  <si>
    <t>Також можливо використовувати свої власні дані щодо іншого параметру, як наприклад, запас вуглецю вегетації</t>
  </si>
  <si>
    <t>Висого рівня якості без гною</t>
  </si>
  <si>
    <t>Розрахунок викидів N2O за методологією МГЕЗК</t>
  </si>
  <si>
    <t xml:space="preserve">Таблиці, що надані у правій частині аркуша нададуть Вам проміжні дані і деталі розрахунку першого етапу МГЕЗК. </t>
  </si>
  <si>
    <t>2. У разі цукрової тростини, N від наземних залишків не розрахований з використанням методів МГЕЗК. В якості альтернативи розглядаються добавки барди і фільтрувального кеку. Ці добавки можуть бути змінені користувачем.</t>
  </si>
  <si>
    <t>Врожайність (свіжа продукція)</t>
  </si>
  <si>
    <t>Свіжа продукція</t>
  </si>
  <si>
    <t>Суха продукція</t>
  </si>
  <si>
    <t>Врожайність (суха продукція)</t>
  </si>
  <si>
    <t>на кг сухої продукції</t>
  </si>
  <si>
    <t>Цукрова тростина</t>
  </si>
  <si>
    <t>Розразунок викидів N2O за методологією МГЕЗК</t>
  </si>
  <si>
    <t>Співвідношення наземних відходів сухої продукції (AGDM (Т)) до зібраних культур для T (Crop (T)</t>
  </si>
  <si>
    <t>Фракціїї всього азоту, який добавляється до або мініралізується так, що втрачається через вилуговування та витікання, в кг N</t>
  </si>
  <si>
    <r>
      <t>Фракції доданих органічних азотних добривних матеріалів та мочевини тощо, що випаровується у вигляді NH</t>
    </r>
    <r>
      <rPr>
        <vertAlign val="subscript"/>
        <sz val="10"/>
        <rFont val="Arial"/>
        <family val="2"/>
        <charset val="204"/>
      </rPr>
      <t>3</t>
    </r>
    <r>
      <rPr>
        <sz val="10"/>
        <rFont val="Arial"/>
        <charset val="204"/>
      </rPr>
      <t xml:space="preserve"> і NO</t>
    </r>
    <r>
      <rPr>
        <vertAlign val="subscript"/>
        <sz val="10"/>
        <rFont val="Arial"/>
        <family val="2"/>
        <charset val="204"/>
      </rPr>
      <t>x</t>
    </r>
    <r>
      <rPr>
        <sz val="10"/>
        <rFont val="Arial"/>
        <charset val="204"/>
      </rPr>
      <t>, кг N</t>
    </r>
  </si>
  <si>
    <t>дані з"являються лише якщо вимагається</t>
  </si>
  <si>
    <t>Азот у рослинних залишках</t>
  </si>
  <si>
    <t xml:space="preserve">Мініралізований азот від ЗЗК = </t>
  </si>
  <si>
    <t>Taблиця 3</t>
  </si>
  <si>
    <t>Taблиця 5</t>
  </si>
  <si>
    <r>
      <t>Див. МГЕЗК 2006, Розділ 11 для отримання більш детальної інформації щодо викидів N</t>
    </r>
    <r>
      <rPr>
        <b/>
        <vertAlign val="subscript"/>
        <sz val="10"/>
        <rFont val="Arial"/>
        <family val="2"/>
        <charset val="204"/>
      </rPr>
      <t>2</t>
    </r>
    <r>
      <rPr>
        <b/>
        <sz val="10"/>
        <rFont val="Arial"/>
        <family val="2"/>
        <charset val="204"/>
      </rPr>
      <t>O</t>
    </r>
  </si>
  <si>
    <t>Словник для Taблиці 2, 3 і 4</t>
  </si>
  <si>
    <t xml:space="preserve">Дивіться МГЕЗК, розділ  11 </t>
  </si>
  <si>
    <t>Значення за замовчуванням ДВДЕ, Додаток V.D</t>
  </si>
  <si>
    <t>Виробництво етанолу з пшениці (невизначений процес  переробки палива)</t>
  </si>
  <si>
    <t>Значення за замовчуванням ДВДЕ Додаток V.D</t>
  </si>
  <si>
    <t>до СБРР</t>
  </si>
  <si>
    <t>Розрахунок по етапам</t>
  </si>
  <si>
    <t xml:space="preserve">    </t>
  </si>
  <si>
    <t xml:space="preserve"> BioGrace  -  Excel-файл для розрахунку показників викидів парникових газів при виробництві біопалива                          Версія 4 - Публічна</t>
  </si>
  <si>
    <t>Комбіноване виробництво тепла та енергії (когенерація)</t>
  </si>
  <si>
    <t>Сушена барда з розчинниками</t>
  </si>
  <si>
    <t>СБР</t>
  </si>
  <si>
    <t>Плоди олійної пальми</t>
  </si>
  <si>
    <t>ПОП</t>
  </si>
  <si>
    <t>Гідрогенізована рослинна олія</t>
  </si>
  <si>
    <t>Значення, на які можуть впливати та які можуть вимірюватися представниками процесу виробництва біопалива (фермери, транспортні організації, представники торгівлі, виробники біопалива). В даному Excel-файлі вхідні дані відрізняються від стандартних значень (визначення дивіться нижче), на які компанії зазвичай не можуть впливати та/або вимірювати.</t>
  </si>
  <si>
    <t>Вхідні дані, що використані,  наведені в Excel-аркушах, де здійснені підрахунки. Ці вхідні дані можуть бути, звичайно, змінені для розрахнунку на основі фактичних даних.</t>
  </si>
  <si>
    <t xml:space="preserve">Стандартні значення, що визначаються користувачем можуть бути використані замість значень, зазначених у аркуші "Стандартні значення". Це може бути зроблено наступним чином: зазначте назву та значення для необхідних стандартних значень, визначені користувачем, в аркуші «Стандартні значення, визначені користувачем». Переконайтеся, що Ви не використовуєте ту саму назву, яка використана в аркуші "Стандартні значення". Далі цей параметр може бути використаний в розрахунках </t>
  </si>
  <si>
    <t>Excel-аркуші можна також використовувати для  розрахунку модифікованого або навіть нового процесу виробництва біопалива. Для цього необхідні певні знання Excel та детальне вивчення правил виконання розрахунків.</t>
  </si>
  <si>
    <t>Ця четверта версія Biograce  містить рекомендації для розрахунку викидів ПГ внаслідок зміни землекористування (аркуш "ЗЗК"), і поліпшення сільськогосподарського менеджменту (аркуш "Esca").</t>
  </si>
  <si>
    <t>Даний Excel-файл не включає в себе рекомендації для розрахунку вловлювання та геологічного зберігання  діоксиду вуглецю.</t>
  </si>
  <si>
    <r>
      <t>Також ця версія не допомагає  розрахувати ґрунтові викиди N</t>
    </r>
    <r>
      <rPr>
        <vertAlign val="subscript"/>
        <sz val="10"/>
        <color indexed="8"/>
        <rFont val="Arial"/>
        <family val="2"/>
        <charset val="204"/>
      </rPr>
      <t>2</t>
    </r>
    <r>
      <rPr>
        <sz val="10"/>
        <color indexed="8"/>
        <rFont val="Arial"/>
        <family val="2"/>
        <charset val="204"/>
      </rPr>
      <t>O на етапі вирощування в процесі виробництва біопалива. Майбутні версії цього Excel-файлу, ймовірно, будуть містити розрахунковий лист для розрахунку ґрунтових викидів N</t>
    </r>
    <r>
      <rPr>
        <vertAlign val="subscript"/>
        <sz val="10"/>
        <color indexed="8"/>
        <rFont val="Arial"/>
        <family val="2"/>
        <charset val="204"/>
      </rPr>
      <t>2</t>
    </r>
    <r>
      <rPr>
        <sz val="10"/>
        <color indexed="8"/>
        <rFont val="Arial"/>
        <family val="2"/>
        <charset val="204"/>
      </rPr>
      <t>O .</t>
    </r>
  </si>
  <si>
    <r>
      <t xml:space="preserve">Даний Excel-файл містить прозорі підрахунки парникових газів (ПГ) з використанням методології, вказаної в Директивах 2009/28/ЄC і 2009/30/ЄC.
Директива 2009/28/ЄС – «Директива про заохочення та використання енергії, виробленої з відновлюваних джерел…», що згадується в цьому документі як "ДВДЕ" (Директива про відновлювані джерела енергії). Директива 2009/30/ЄС далі згадується як "ДЯП" (Директива про якість палива). </t>
    </r>
    <r>
      <rPr>
        <b/>
        <sz val="10"/>
        <color rgb="FFFF0000"/>
        <rFont val="Arial"/>
        <family val="2"/>
        <charset val="204"/>
      </rPr>
      <t xml:space="preserve">УВАГА: достовірні та прийнятні результати фактичних розрахунків можуть бути отримані лише у оригінальному Excel-файлі англійською мовою !!! цей файл є демонстраційною версією для покращення розуміння україномовних корисувачів.  Оригінал можна заванатажити за посиланням www.biograce.net/home </t>
    </r>
  </si>
  <si>
    <r>
      <t>Якщо даний Excel-файл використовується для фактичних розрахунків на відповідність критеріям сталості ДВДЕ та ДЯП щодо збереження викидів ПГ, застосовуються наступні вимоги:
1. Повинні бути дотримані правила розрахунку BioGrace. Ці правила включені до архіву zip, що може бути завантажений з www.BioGrace.net. 
2. Фактичні розрахунки повинні бути зроблені за допомогою включеної опції "Відстеження змін", (за допомогою кнопки помаранчевого кольору на кожному аркуші, що представляє процес виробництва біопалива).</t>
    </r>
    <r>
      <rPr>
        <sz val="10"/>
        <color rgb="FFFF0000"/>
        <rFont val="Arial"/>
        <family val="2"/>
        <charset val="204"/>
      </rPr>
      <t xml:space="preserve"> </t>
    </r>
    <r>
      <rPr>
        <b/>
        <sz val="10"/>
        <color rgb="FFFF0000"/>
        <rFont val="Arial"/>
        <family val="2"/>
        <charset val="204"/>
      </rPr>
      <t>УВАГА: достовірні та прийнятні результати фактичних розрахунків можуть бути отримані лише у оригінальному Excel-файлі англійською мовою !!! цей файл</t>
    </r>
    <r>
      <rPr>
        <sz val="10"/>
        <color rgb="FFFF0000"/>
        <rFont val="Arial"/>
        <family val="2"/>
        <charset val="204"/>
      </rPr>
      <t xml:space="preserve"> </t>
    </r>
    <r>
      <rPr>
        <b/>
        <sz val="10"/>
        <color rgb="FFFF0000"/>
        <rFont val="Arial"/>
        <family val="2"/>
        <charset val="204"/>
      </rPr>
      <t xml:space="preserve">є демонстраційною версією для покращення розуміння україномовних корисувачів.  Оригінал можна заванатажити за посиланням www.biograce.net/home </t>
    </r>
    <r>
      <rPr>
        <sz val="10"/>
        <color indexed="8"/>
        <rFont val="Arial"/>
        <family val="2"/>
        <charset val="204"/>
      </rPr>
      <t xml:space="preserve">
Це дозволить аудитору, що перевірятиме підрахунки, з легкістю знайти фактичні введені значення, які були використані для розрахунку.
Аудитору дозволено відмовитися від перевірки розрахунку, якщо він був виконаний без включеної опції «Відстеження змін».</t>
    </r>
  </si>
  <si>
    <t xml:space="preserve">Результати розрахунків виражені як "Значення за замовчуванням". Це означає, що для відтворення значень за замовчуванням, зазначені  у Додатку V ДВДЕ, вхідні дані для викидів виробничого процесу (що були взяті з первинних джерел, зазначених нижче) були помножені на 1,4, як пояснюється у "Добровільних схемах і значеннях за замовчуванням" (детальніша інформація надана в статті 3.1.  Комюніке ЄК http://eur-lex.europa.eu/legal-content/EN/TXT/PDF/?uri=CELEX:52010XC0619%2801%29&amp;from=EN). </t>
  </si>
  <si>
    <t>У трьох методах виробництва СПГ з біогазу на етапі "виробництво біогазу шляхом ферментації", коефіцієнт 1,4 встановлюється по-різному, тому що перемноження на цей показник всіх вхідних даних привееде до зміни розміру газового двигуна, який використовує біогаз із біореактора і який постачає тепло в біореактор</t>
  </si>
  <si>
    <t>2. Неокруглені значення, в тій самій колонці G виділені чорним кольором та вирівняні вправо. Ці значення не занесені до ДВДЕ. Вони були розраховані шляхом прийняття результатів, показаних у списку вхідних даних (див. джерело даних 1 нижче) та помножені на коефіцієнт 1,4 на етапах обробки. Ці значення були додані, для збільшення прозорості розрахунків JEC (консорціум JRC, EUCAR and CONCAWE); Тільки вказавши значення із двома десятковими числами можна показати, що розрахунки JEC можуть бути відтворені з високою точністю. Звичайно, розрахунки можуть бути виконані і з використанням типових значень (без коефіцієнта 1,4).</t>
  </si>
  <si>
    <t>Сума цих викидів (у г CO2екв./МДж біопалива) і відсоток скорочення викидів (%, у порівнянні з референтним викопним паливом) може незначною мірою відрізнятися в порівнянні зі значеннями Додатку V.D. та V.A. ДВДЕ, відповідно. Це спричинене округленням. У ДВДЕ загальний обсяг викидів в г CO2екв./МДж розраховується як сума округлених значень для вирощування, транспортування і переробки, і відсоток скорочення викидів базується на цьому значенні. В цьому Excel-файлі  це округлення не зроблено для того, щоб Excel-файл був використаний для розрахунку фактичних значень. ДВДЕ і Комюніке не вимагають округлення, тільки "значення скорочення парникових газів округляється до найближчого відсоткового пункту" (дивіться посилання 14 у Комюніке "Практичне виконання" вище).</t>
  </si>
  <si>
    <t>Дані, що використовуються для розрахунків в цьому Excel-файлі отримані з трьох джерел:
1. Перелік вхідних даних, що наданий  консорціумом JEC (Об'єднаний дослідницький центр (Joint Research Centre), Асоціація Автомобілістів (EUCAR) та Комісія зі збереження чистого повітря і води (Conservation of Clean Air and Water in Europe) після консультацій із зацікавленими сторонами.</t>
  </si>
  <si>
    <t>У цьому розрахунку використано більш ранню версію цього файлу (від 31 липня 2008 року), тому що до розрахунку значення за замовчуванням ДВДЕ і ДЯП не включається одне доповнення, що включається до файлу на веб-сайті JEC. Різницею між двома версіями є введення пари у переробці олії на складні метилові ефіри жирних кислот (СМЕЖК);у версії від 31 липня 2008 року це число становить 0,0687 МДж/MДжСМЕЖК, в той час як у версії від 14 листопада це число становить 0,0397 МДж / MДжСМЕЖК</t>
  </si>
  <si>
    <t>Для деяких вхідних даних, Ludwig-Bölkow-Systemtechnik (LBST) надав деякі модифіковані вхідні дані (так значення використані в розрахунках трохи відрізнялися від тих, які перераховані в зазначеному файлі).</t>
  </si>
  <si>
    <t>Це значення, які бути взяті з дослідження повного процесу виробництва палива Well-to-Wheel study, WTT, Додаток 1, доступного на</t>
  </si>
  <si>
    <t>У цьому документі використано версію 2с від (березень 2007 року) (файл WTT_App_1_010307.pdf). Як очікується, незабаром нова версія 3 WTT, Додаток 1, буде доступною для громадськості.</t>
  </si>
  <si>
    <t>Деякі значення, що спричиняють невеликі викиди ПГ не були опубліковані консорціумом JEC. Оскільки цей Excel-файл призначений для розрахунку значень за замовчуванням  ДВДЕ є повністю прозорим, і значення включені до цього файлу. Два приклади таких значень це значення викидів CH4 і N2O від котлів і газових турбін, які виробляють пар, і CH4 і N2O викидів відпрацьованих газів від вантажівки і водного транспорту.</t>
  </si>
  <si>
    <t>В рамках проекту BioGrace, були визначені причини відмінностей і надані більш правильні значення. Вони були додані до вхідних значень та стандартних значень в цьому  Excel-файлі.</t>
  </si>
  <si>
    <t>Під час реалізації проекту Biograce, було звернено увагу на невідповідність  між тим, які значення за замовчуванням викидів ПГ при виробництві біопалива (зазначених у додатках V.A., V.B. і В.D. ДВДЕ) були розраховані, і аспектами методики, наведеної у Додатку V.C. ДВДЕ. Вхідні значення надані консорціумом JEC Комісії (з якими Комісія розраховує свої значення за замовчуванням) використовують потенціал глобального потепління (ПГП)  25 для CH4 і 298 для N2O, в той час як у Додатоку V.C.  ДВДЕ вказується у статті 5, що  повинні бути  ПГП  - 23 для CH4 і N2O для 296.</t>
  </si>
  <si>
    <t>Тому даний Excel-файл може бути використаний для двох видів розрахунків:</t>
  </si>
  <si>
    <t>а. розрахунки з використанням значень, що відповідають наступним методикам, зазначеним у Додатку V.C. Директиви 2009/28/ЄC та Додатку V.C. Директиви 2009/30/ЄC</t>
  </si>
  <si>
    <t>б. розрахунки з використанням значень, що були надані консорціумом JEC Комісії. Ці розрахунки в точності відтворюють значення за замовчуванням Додатку V .</t>
  </si>
  <si>
    <t>У верхній частині результат розрахунку в цьому Excel-аркуші вказує також і значення за замовчуванням у ДВДЕ, Додаток V. Округлені значення показали, що іноді результати не змінюються при переході від варіанту А до варіанту Б або навпаки, в той час як в інших випадках результати починають відрізнятися для одного або більше раз округлених значень при виборі опції А.</t>
  </si>
  <si>
    <t>Розрахунок прямої зміни у землекористуванні (ЗЗК)</t>
  </si>
  <si>
    <t>Розрахунок поліпшення сільськогосподарського менеджменту (esca)</t>
  </si>
  <si>
    <r>
      <t>Розрахунок викидів N</t>
    </r>
    <r>
      <rPr>
        <vertAlign val="subscript"/>
        <sz val="14"/>
        <rFont val="Arial"/>
        <charset val="204"/>
      </rPr>
      <t>2</t>
    </r>
    <r>
      <rPr>
        <sz val="14"/>
        <rFont val="Arial"/>
        <family val="2"/>
        <charset val="204"/>
      </rPr>
      <t>O за методологією МГЕЗК</t>
    </r>
  </si>
  <si>
    <r>
      <t>Розрахунок викидів N</t>
    </r>
    <r>
      <rPr>
        <vertAlign val="subscript"/>
        <sz val="14"/>
        <rFont val="Arial"/>
        <charset val="204"/>
      </rPr>
      <t>2</t>
    </r>
    <r>
      <rPr>
        <sz val="14"/>
        <rFont val="Arial"/>
        <family val="2"/>
        <charset val="204"/>
      </rPr>
      <t>O за методологією МГЕЗК (Приклад1)</t>
    </r>
  </si>
  <si>
    <t>Виробництво складних метилових ефірних жирних кислот (СМЕЖК) з ріпаку (пара від котла на природному газі)</t>
  </si>
  <si>
    <t xml:space="preserve">У розрахунках повинні бути використані принципи, опубліковані у </t>
  </si>
  <si>
    <t>Вуглецеві запаси на одиницю площі, пов'язані з референтним землекористуванням (вимірюється як маса вуглецю на одиницю площі, в тому числі ґрунти та рослинність) [т С / га]</t>
  </si>
  <si>
    <t>Вуглецеві запаси на одиницю площі, пов'язані з фактичним землекористуванням (вимірюється як маса вуглецю на одиницю площі, в тому числі ґрунти та рослинність) [т С / га]</t>
  </si>
  <si>
    <t>Вуглецеві запаси вище і нижче рівня ґрунтової вегетації [т. C / га]</t>
  </si>
  <si>
    <t>Ґрунтовий органічний вуглець [т С / га]</t>
  </si>
  <si>
    <t>Фактор менеджменту, який відображає різницю в ґрунтованому органічному вуглеці, відповідно до основної практики менеджменту (методу управління) у порівнянні зі стандартним ґрунтовим органічним вуглецем.</t>
  </si>
  <si>
    <t xml:space="preserve">Фактор землекористування, що відображає різницю у ґрунтовому органічному вуглеці, що асоційований з типом землекористування </t>
  </si>
  <si>
    <t>Добривний фактор, який відображає різницю в ґрунтовому органічному вуглеці, відповідно до різних рівнів внесення вуглецевих добрив в ґрунт в порівнянні зі стандарними даними щодо ґрунтового органічного вуглецю</t>
  </si>
  <si>
    <t>Розрахунок:  Будь ласка оберіть Ваш варіант розрахунку нижче, і потім відповідно заповніть необхідні частини запитальника</t>
  </si>
  <si>
    <t>значення за замовч. з мінерал. ґрунтами</t>
  </si>
  <si>
    <t>Значення за замовчуванням  з мінеральними ґрунтами</t>
  </si>
  <si>
    <t>Значення за замовчуванням з органічними ґрунтами</t>
  </si>
  <si>
    <t>2. Ґрунти, що розглядаються є мінеральними ґрунтами. Для органічних ґрунтів, відповідні ґрунти повинні бути визначені, як зазначено у параграфі 4.2. рішення Комісії.</t>
  </si>
  <si>
    <t>Зазначний рік змін у землекористуванні. ЗЗК повинен бути взятий до уваги з урахуванням 20 років після зміни землекористування.</t>
  </si>
  <si>
    <t>Вище та нижче рівня ґрунтової вегетації</t>
  </si>
  <si>
    <t>Вуглецеві запаси в мінеральних ґрунтах</t>
  </si>
  <si>
    <t>Тип ґрунту</t>
  </si>
  <si>
    <t>Ґрунтовий менеджмент</t>
  </si>
  <si>
    <r>
      <t>тонн ек. CO</t>
    </r>
    <r>
      <rPr>
        <vertAlign val="subscript"/>
        <sz val="10"/>
        <rFont val="Arial"/>
        <family val="2"/>
        <charset val="204"/>
      </rPr>
      <t>2</t>
    </r>
    <r>
      <rPr>
        <sz val="10"/>
        <color indexed="8"/>
        <rFont val="Arial"/>
        <family val="2"/>
        <charset val="204"/>
      </rPr>
      <t xml:space="preserve"> / га / рік</t>
    </r>
  </si>
  <si>
    <t>Пошук в таблиці 1 до Рішення Комісії, використовуючи область клімат і тип ґрунту вище</t>
  </si>
  <si>
    <t>Будь ласка, зверніть увагу, що позитивне значення означає вуглецеві втрати ґрунту</t>
  </si>
  <si>
    <t>Розрахунки Cveg , якщо вони здійснюються відповідно до пункту 5 Постанови Комісії: подробиці розрахунку</t>
  </si>
  <si>
    <t>Опція 2. Фактичні розрахунки вуглецевих запасів у ґрунті та рослинності</t>
  </si>
  <si>
    <t>Керівництво, що опубліковане Європейською Комісією (дивись посилання вище) дозволяє використовувати фактичні дані для ґрунтового органічного вуглецю.</t>
  </si>
  <si>
    <r>
      <t>т екв. CO</t>
    </r>
    <r>
      <rPr>
        <b/>
        <vertAlign val="subscript"/>
        <sz val="10"/>
        <color indexed="62"/>
        <rFont val="Arial"/>
        <family val="2"/>
        <charset val="204"/>
      </rPr>
      <t>2</t>
    </r>
    <r>
      <rPr>
        <b/>
        <sz val="10"/>
        <color indexed="62"/>
        <rFont val="Arial"/>
        <family val="2"/>
        <charset val="204"/>
      </rPr>
      <t xml:space="preserve"> га</t>
    </r>
    <r>
      <rPr>
        <b/>
        <vertAlign val="superscript"/>
        <sz val="10"/>
        <color indexed="62"/>
        <rFont val="Arial"/>
        <family val="2"/>
        <charset val="204"/>
      </rPr>
      <t>-1</t>
    </r>
    <r>
      <rPr>
        <b/>
        <sz val="10"/>
        <color indexed="62"/>
        <rFont val="Arial"/>
        <family val="2"/>
        <charset val="204"/>
      </rPr>
      <t xml:space="preserve"> рік</t>
    </r>
    <r>
      <rPr>
        <b/>
        <vertAlign val="superscript"/>
        <sz val="10"/>
        <color indexed="62"/>
        <rFont val="Arial"/>
        <family val="2"/>
        <charset val="204"/>
      </rPr>
      <t>-1</t>
    </r>
  </si>
  <si>
    <t>Щоб уникнути подвійного розрахунку, будь ласка, використовуйте цей розрахунковий аркуш тільки якщо немає змін у землекористуванні  (ЗЗК). В іншому випадку, надавайте перевагу використанню Excel-аркуша ЗЗК.</t>
  </si>
  <si>
    <t>Ці керівництва представляють порядок та дані для визначення кількості органічного вуглецю в ґрунті (SOC) на гектар.</t>
  </si>
  <si>
    <t>Ґрунтовий органічний вуглець на одиницю площі, пов'язаний з фактичними методами сільськогосподарського управління (у розрахунку маси вуглецю на одиницю площі, в тому числі ґрунти та рослинність) [т С / га]</t>
  </si>
  <si>
    <t>Ґрунтовий органічний вуглець на одиницю площі, пов'язаний з референтними методами сільськогосподарського управління (у розрахунку маси вуглецю на одиницю площі, в тому числі ґрунти та рослинність) [т С / га]</t>
  </si>
  <si>
    <t xml:space="preserve">Референтними методами можуть бути методи, що використані станом на січень 2008 року чи на 20 років раніше отримання сировинного матеріалу в залежності від того, який з цих факторів настав пізніше </t>
  </si>
  <si>
    <t>Коефіцієнт землекористування, що відображає різницю в ґрунті органічного вуглецю, пов'язаного з типом землекористування в порівнянні зі стандартним ґрунтовим органічним вуглецем [-]</t>
  </si>
  <si>
    <t>Коефіцієнт управління відображає різницю в ґрунті органічного вуглецю, пов'язаного з основними принципами управління порівняно зі стандартним ґрунтовим органічним вуглецем  [-]</t>
  </si>
  <si>
    <t>Значення за замовчуванням з мінеральними ґрунтами</t>
  </si>
  <si>
    <t>В цьому випадку, Вам потрібно використовувати модуль фактичних розрахунків як для CVEG так і для SOС</t>
  </si>
  <si>
    <t>2. Ґрунти, що розглядаються є мінеральними ґрунтами. Для органічних ґрунтів, відповідні ґрунти повинні бути визначені, як зазначено у параграфі 4.2. Рішення Комісії.</t>
  </si>
  <si>
    <t>Якщо тип вегетації змінюється між референтним і фактичним землекористуванням, будь ласка зверніться до Excel-аркушу зміни землекористування (ЗЗК).</t>
  </si>
  <si>
    <t>Вуглецеві запаси у мінеральних ґрунтах</t>
  </si>
  <si>
    <t>Тип управління ґрунтом</t>
  </si>
  <si>
    <t>Опція 2. Використання фактичних даних ґрунтового органічного вуглецю</t>
  </si>
  <si>
    <t xml:space="preserve">Будь ласка підтвердіть, що вони взяті з урахуванням: </t>
  </si>
  <si>
    <t>Типу ґрунту</t>
  </si>
  <si>
    <t>Кіцевий накопичений вуглець у ґрунті</t>
  </si>
  <si>
    <t xml:space="preserve">esca значення, що може використовуватися у розрахунках: </t>
  </si>
  <si>
    <t>Будь ласка, зверніть увагу, що позитивне значення означає вуглецеві накопичення ґрунту</t>
  </si>
  <si>
    <t>Для всього: відомості про репрезентативність, докази наукової обґрунтованості тощо.</t>
  </si>
  <si>
    <t>Рорахунки за метологією МГЕЗК першого етапу щодо оцінки викидів N2O від оброблюваних ґрунтів (1).</t>
  </si>
  <si>
    <t xml:space="preserve">Будь ласка, заповніть білі клітини в колонці C і повідомте результат, отриманий в нижній частині сторінки вашого розрахунку. </t>
  </si>
  <si>
    <t>1. У разі сої, в підрахунках JEC вміст азоту нижчої ґрунтової біомаси становив 0.074 кг N / (кг сухої речовини) замість 0,008 кг N / (кг сухої речовини), розглянутих у МГЕЗК. Крім того, коефіцієнт EF1 становив 0,0095 замість 0,01, розглянутих МГЕЗК. У даному інструменті, обґрунтовані значення зберігаються за допомогою методів МГЕЗК.</t>
  </si>
  <si>
    <t>3. У разі пальми, N від наземних залишків розраховується за методами JEC, враховуючи, що 0,22 т сухих залишків повертається на поле на тону мокрих ПОП. Ця частина має право бути змінена користувачем. Вміст азоту в рослинних рештках повертається на поле і становить до 1,1% від сухої маси.</t>
  </si>
  <si>
    <r>
      <t>(1) МГЕЗК 2006, 2006 Керівні принципи МГЕЗК для національних кадастрів парникових газів, підготовлений Програмою національних кадастрів парникових газів, Егглстон УГ, Буендіа Л., Міва K., Нгар Т. і К. Танабе (ред). Опубліковано: IGES, Японія. Глава 11 про викиди N</t>
    </r>
    <r>
      <rPr>
        <i/>
        <vertAlign val="subscript"/>
        <sz val="10"/>
        <rFont val="Arial"/>
        <family val="2"/>
        <charset val="204"/>
      </rPr>
      <t>2</t>
    </r>
    <r>
      <rPr>
        <i/>
        <sz val="10"/>
        <rFont val="Arial"/>
        <family val="2"/>
        <charset val="204"/>
      </rPr>
      <t>O з оброблюваних ґрунтів.</t>
    </r>
  </si>
  <si>
    <t>Чи високе насичення ґрунту водою?</t>
  </si>
  <si>
    <t xml:space="preserve">Словник абревіатур: </t>
  </si>
  <si>
    <t>Виберіть "так", якщо врожай зрошуваний, або якщо кількість опадів у сезон дощів (1) мінус потенціал випаровування вище, ніж місткість води в ґрунті. Якщо не відомо, буде застосовуватися середній витік нітратів.</t>
  </si>
  <si>
    <t>Будь ласка, розрахуйте це значення, використовуючи аркуш ЗЗК</t>
  </si>
  <si>
    <t>(1) Сезон дощів: період,  кількість опадів&gt; 0,5 *Евапорометр</t>
  </si>
  <si>
    <t>Вуглецеві втрати через зміни у землекористуванні</t>
  </si>
  <si>
    <t>чи аркуш ESCA для модифікованих методик</t>
  </si>
  <si>
    <t>Значення за замовчуванням ДВДЕ</t>
  </si>
  <si>
    <r>
      <t>Прямі викиди N</t>
    </r>
    <r>
      <rPr>
        <b/>
        <vertAlign val="subscript"/>
        <sz val="10"/>
        <color indexed="19"/>
        <rFont val="Arial"/>
        <family val="2"/>
        <charset val="204"/>
      </rPr>
      <t>2</t>
    </r>
    <r>
      <rPr>
        <b/>
        <sz val="10"/>
        <color indexed="19"/>
        <rFont val="Arial"/>
        <family val="2"/>
        <charset val="204"/>
      </rPr>
      <t xml:space="preserve">O з оброблюваних ґрунтів (Етап1).  </t>
    </r>
  </si>
  <si>
    <t>Дивіться Таблицю 2, Таблицю 3, Таблицю 4 та Таблицю 5 для проміжних розрахунків (права сторона цього аркушу)</t>
  </si>
  <si>
    <t>Вміст азоту у відходах вищого шару ґрунту</t>
  </si>
  <si>
    <t>Відходи вищого шару ґрунту (суха продукція)</t>
  </si>
  <si>
    <r>
      <t>Дивіться для більших детальної інформації МГЕЗК, глава 11 щодо викидів N</t>
    </r>
    <r>
      <rPr>
        <b/>
        <vertAlign val="subscript"/>
        <sz val="10"/>
        <rFont val="Arial"/>
        <family val="2"/>
        <charset val="204"/>
      </rPr>
      <t>2</t>
    </r>
    <r>
      <rPr>
        <b/>
        <sz val="10"/>
        <rFont val="Arial"/>
        <family val="2"/>
        <charset val="204"/>
      </rPr>
      <t xml:space="preserve">O </t>
    </r>
  </si>
  <si>
    <t>Відходи нижнього шару ґрунту (суха продукція)</t>
  </si>
  <si>
    <t>Відходи культур з вмістом азоту повернуті до ґрунту  (в тому числі N-фіксації культур та оновлення пасовищ)</t>
  </si>
  <si>
    <t>Кінцева мініралізація азоту від втрат ґрунтових органічних вуглецевих запасів у мініральних ґрунтах через зміни землекористування чи управлінські методики</t>
  </si>
  <si>
    <r>
      <t>ВСЬОГО Викидів N</t>
    </r>
    <r>
      <rPr>
        <b/>
        <vertAlign val="subscript"/>
        <sz val="10"/>
        <color indexed="9"/>
        <rFont val="Arial"/>
        <family val="2"/>
        <charset val="204"/>
      </rPr>
      <t>2</t>
    </r>
    <r>
      <rPr>
        <b/>
        <sz val="10"/>
        <color indexed="9"/>
        <rFont val="Arial"/>
        <family val="2"/>
        <charset val="204"/>
      </rPr>
      <t>O  (Прямі + Непрямі N</t>
    </r>
    <r>
      <rPr>
        <b/>
        <vertAlign val="subscript"/>
        <sz val="10"/>
        <color indexed="9"/>
        <rFont val="Arial"/>
        <family val="2"/>
        <charset val="204"/>
      </rPr>
      <t>2</t>
    </r>
    <r>
      <rPr>
        <b/>
        <sz val="10"/>
        <color indexed="9"/>
        <rFont val="Arial"/>
        <family val="2"/>
        <charset val="204"/>
      </rPr>
      <t>O) від оброблених ґрунтів (Етап 1)</t>
    </r>
  </si>
  <si>
    <t>Вміст азоту відходів вищого шару ґрунту</t>
  </si>
  <si>
    <t>Розрахунки за метологією МГЕЗК першого етапу щодо оцінки викидів N2O від оброблюваних ґрунтів (1).</t>
  </si>
  <si>
    <t>Для наступних культур (імпортована сировина) додаткова гіпотеза в розрахунках JEC включає:</t>
  </si>
  <si>
    <t>1. У разі сої, в розрахунках JEC вміст азоту нижчої ґрунтової біомаси становив 0.074 кг N / (кг сухої речовини) замість 0,008 кг N / (кг сухої речовини), розглянутих у МГЕЗК. Крім того, коефіцієнт EF1 становив 0,0095 замість 0,01, розглянутих МГЕЗК. У даному інструменті, обґрунтовані значення зберігаються за допомогою методів МГЕЗК.</t>
  </si>
  <si>
    <t>2. У разі цукрової тростини, N від наземних залишків не розрахований з використанням методів МГЕЗК. В якості альтернативи розглядаються добавки барди і мулового осаду. Ці добавки можуть бути змінені користувачем.</t>
  </si>
  <si>
    <t>3. У разі пальми, N від наземних залишків розраховується за методами JEC, враховуючи, що 0,22 т сухих залишків повертається на тону ПОП. Ця частина має право бути змінена користувачем. Вміст азоту в рослинних рештках повертається на поле і становить до 1,1% від сухої маси.</t>
  </si>
  <si>
    <t>Виберіть "так", якщо врожай зрошуваний, або якщо кількість опадів у сезон дощів (1) мінус потенціал випаровування вище, ніж місткість води в грунті. Якщо не відомо, буде застосовуватися середній витік нітратів.</t>
  </si>
  <si>
    <t>(1) Сезон дощів: період, кількість опадів&gt; 0,5 * Евапорометр</t>
  </si>
  <si>
    <t>Спеціальна інформація у разі змін у землекористуванні або модифікації методів управління</t>
  </si>
  <si>
    <t>Вуглецеві втрати через зміни землекористування</t>
  </si>
  <si>
    <r>
      <t>Прямі викиди N</t>
    </r>
    <r>
      <rPr>
        <b/>
        <vertAlign val="subscript"/>
        <sz val="10"/>
        <color indexed="19"/>
        <rFont val="Arial"/>
        <family val="2"/>
        <charset val="204"/>
      </rPr>
      <t>2</t>
    </r>
    <r>
      <rPr>
        <b/>
        <sz val="10"/>
        <color indexed="19"/>
        <rFont val="Arial"/>
        <family val="2"/>
        <charset val="204"/>
      </rPr>
      <t xml:space="preserve">O з оброблюваних ґрунтів (Етап 1).  </t>
    </r>
  </si>
  <si>
    <t xml:space="preserve">Будь ласка, введіть азотні додатки у вигляді синтетичних або органічних добрив у синіх клітинaх  </t>
  </si>
  <si>
    <r>
      <t>Непрямі викиди N</t>
    </r>
    <r>
      <rPr>
        <b/>
        <vertAlign val="subscript"/>
        <sz val="10"/>
        <color indexed="19"/>
        <rFont val="Arial"/>
        <family val="2"/>
        <charset val="204"/>
      </rPr>
      <t>2</t>
    </r>
    <r>
      <rPr>
        <b/>
        <sz val="10"/>
        <color indexed="19"/>
        <rFont val="Arial"/>
        <family val="2"/>
        <charset val="204"/>
      </rPr>
      <t>O з оброблених ґрунтів (Етап 1)</t>
    </r>
  </si>
  <si>
    <t>Дивіться Таблицю 6, Таблицю 7, Таблицю 8 для проміжних розрахунків (права сторона аркушу)</t>
  </si>
  <si>
    <t>ВСЬОГО Викидів N2O  (Прямі + Непрямі N2O) від оброблених ґрунтів (Етап 1)</t>
  </si>
  <si>
    <t xml:space="preserve">Виробництво етанолу з цукрового буряку (пара від котлу на природному газі) </t>
  </si>
  <si>
    <t xml:space="preserve">При використанні даного інструменту підрахунку ПГ, необхідно дотримуватися правил розрахунку BioGrace. </t>
  </si>
  <si>
    <t>розрахунки у даному Excel-аркуші……</t>
  </si>
  <si>
    <t>Як пояснено у аркуші "Опис" щодо Непослідовності використання потенціалу глобального потепління (ПГП)</t>
  </si>
  <si>
    <t xml:space="preserve">Увага: для достовірності розрахунків кнопка відсідковування має бути ввімкнена. Це може бути виконано лише в оригінальному файлі. </t>
  </si>
  <si>
    <r>
      <t>Ґрунтові викиди N</t>
    </r>
    <r>
      <rPr>
        <b/>
        <vertAlign val="subscript"/>
        <sz val="10"/>
        <rFont val="Arial"/>
        <family val="2"/>
        <charset val="204"/>
      </rPr>
      <t>2</t>
    </r>
    <r>
      <rPr>
        <b/>
        <sz val="10"/>
        <rFont val="Arial"/>
        <family val="2"/>
        <charset val="204"/>
      </rPr>
      <t xml:space="preserve">O </t>
    </r>
  </si>
  <si>
    <t>Побічний продукт жому цукрового буряку</t>
  </si>
  <si>
    <t>Побічний продукт:</t>
  </si>
  <si>
    <t>Суміш електроенергії від мереж ЄС, середньої напруги</t>
  </si>
  <si>
    <t>Суміш електроенергії від мереж ЄС, низької напруги</t>
  </si>
  <si>
    <t>Зміна землекористування, у тому числі надбавка на вирощування на несільськогосподарських або деградованих землях</t>
  </si>
  <si>
    <t>Надбавка (eB)</t>
  </si>
  <si>
    <t>Накопичення ґрунтового вуглецю</t>
  </si>
  <si>
    <t>Кінцеві накопичення вуглецевого ґрунту</t>
  </si>
  <si>
    <t>Вміст енергії (на МДж цукрового буряку)</t>
  </si>
  <si>
    <r>
      <t xml:space="preserve">  </t>
    </r>
    <r>
      <rPr>
        <sz val="20"/>
        <rFont val="Symbol"/>
      </rPr>
      <t>·</t>
    </r>
    <r>
      <rPr>
        <sz val="20"/>
        <rFont val="Arial"/>
        <family val="2"/>
        <charset val="204"/>
      </rPr>
      <t xml:space="preserve"> Примітка: Зверніть увагу, що триває дискусія щодо правил розрахунку даних NUTS-2</t>
    </r>
  </si>
  <si>
    <t>Побічна продукція від соломи</t>
  </si>
  <si>
    <t>N-добрива (кг N)</t>
  </si>
  <si>
    <r>
      <t>K</t>
    </r>
    <r>
      <rPr>
        <vertAlign val="subscript"/>
        <sz val="10"/>
        <rFont val="Verdana"/>
        <family val="2"/>
        <charset val="204"/>
      </rPr>
      <t>2</t>
    </r>
    <r>
      <rPr>
        <sz val="10"/>
        <rFont val="Verdana"/>
        <charset val="204"/>
      </rPr>
      <t>O-добрива (кг K</t>
    </r>
    <r>
      <rPr>
        <vertAlign val="subscript"/>
        <sz val="10"/>
        <rFont val="Verdana"/>
        <family val="2"/>
        <charset val="204"/>
      </rPr>
      <t>2</t>
    </r>
    <r>
      <rPr>
        <sz val="10"/>
        <rFont val="Verdana"/>
        <charset val="204"/>
      </rPr>
      <t>O)</t>
    </r>
  </si>
  <si>
    <r>
      <t>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-добрива (кг P</t>
    </r>
    <r>
      <rPr>
        <vertAlign val="subscript"/>
        <sz val="10"/>
        <rFont val="Verdana"/>
        <family val="2"/>
        <charset val="204"/>
      </rPr>
      <t>2</t>
    </r>
    <r>
      <rPr>
        <sz val="10"/>
        <rFont val="Verdana"/>
        <charset val="204"/>
      </rPr>
      <t>O</t>
    </r>
    <r>
      <rPr>
        <vertAlign val="subscript"/>
        <sz val="10"/>
        <rFont val="Verdana"/>
        <family val="2"/>
        <charset val="204"/>
      </rPr>
      <t>5</t>
    </r>
    <r>
      <rPr>
        <sz val="10"/>
        <rFont val="Verdana"/>
        <charset val="204"/>
      </rPr>
      <t>)</t>
    </r>
  </si>
  <si>
    <t>Побічні продукти до СБР</t>
  </si>
  <si>
    <t>т СБР/ т Етанолу</t>
  </si>
  <si>
    <r>
      <t>МДж етанолу</t>
    </r>
    <r>
      <rPr>
        <sz val="10"/>
        <rFont val="Arial"/>
        <charset val="204"/>
      </rPr>
      <t>/ МДж пшениці</t>
    </r>
  </si>
  <si>
    <r>
      <t>т СБР</t>
    </r>
    <r>
      <rPr>
        <sz val="10"/>
        <rFont val="Arial"/>
        <charset val="204"/>
      </rPr>
      <t xml:space="preserve"> / т Етанолу</t>
    </r>
  </si>
  <si>
    <t>Розрахуйте ці значення використовуючи аркуш 
"Викиди N2O згідно МГЕЗК"</t>
  </si>
  <si>
    <t>т. СБР</t>
  </si>
  <si>
    <t>Побічний продукт Солома</t>
  </si>
  <si>
    <t xml:space="preserve">  При використанні даного інструменту підрахунку ПГ, необхідно дотримуватися правил розрахунку BioGrace. </t>
  </si>
  <si>
    <t>Виробник парової установки не бере до рахунку власне споживання.</t>
  </si>
  <si>
    <t>Суміш електроенергії від мереж ЄС, низької напргуги</t>
  </si>
  <si>
    <t xml:space="preserve">Побічний продукт:  </t>
  </si>
  <si>
    <t>Побічний продукт сухої післяспиртової барди</t>
  </si>
  <si>
    <t>Побічний продукт СБР</t>
  </si>
  <si>
    <t>СБР(10% вологомісткість)</t>
  </si>
  <si>
    <t xml:space="preserve">Електроенергія (від ТЕЦ) </t>
  </si>
  <si>
    <t>Зміна землекористування, у тому числі надбавка  на вирощування на несільськогосподарських або деградованих землях</t>
  </si>
  <si>
    <t>Виробництво складних метилових ефірних жирних кислот (СМЕЖК) з ріпаку (пара від котлу ПГ)</t>
  </si>
  <si>
    <t>Транспортування СМЕЖК</t>
  </si>
  <si>
    <t xml:space="preserve">  При використанні даного інструменту розрахунку ПГ, необхідно дотримуватися правил підрахунку BioGrace. </t>
  </si>
  <si>
    <t>Побічний продукт ріпакової макухи</t>
  </si>
  <si>
    <t>Суміш  електроенергії від мереж ЄС, середньої напруги</t>
  </si>
  <si>
    <r>
      <t>Флоридинова</t>
    </r>
    <r>
      <rPr>
        <sz val="10"/>
        <rFont val="Arial"/>
        <charset val="204"/>
      </rPr>
      <t xml:space="preserve"> глина</t>
    </r>
  </si>
  <si>
    <t>Видобування олії</t>
  </si>
  <si>
    <t>Побічний  продукт рафінованого гліцерину</t>
  </si>
  <si>
    <t xml:space="preserve">Побічний  продукт:  </t>
  </si>
  <si>
    <t>Calculate electrical and/or thermal efficiencies</t>
  </si>
  <si>
    <t>Annual input</t>
  </si>
  <si>
    <t>Annual output</t>
  </si>
  <si>
    <t>Lower heating value (on dry basis)</t>
  </si>
  <si>
    <t>Amount</t>
  </si>
  <si>
    <t>Mass percentage of water</t>
  </si>
  <si>
    <t>Energy</t>
  </si>
  <si>
    <t>Input fuels</t>
  </si>
  <si>
    <t>[MJ/kg]</t>
  </si>
  <si>
    <t>[ton]</t>
  </si>
  <si>
    <t>[%]</t>
  </si>
  <si>
    <t>[MWh]</t>
  </si>
  <si>
    <t>Gross electricity production</t>
  </si>
  <si>
    <t>Internal usage electricity</t>
  </si>
  <si>
    <t>Electricity losses</t>
  </si>
  <si>
    <t>Net electricity production</t>
  </si>
  <si>
    <t>Gross heat production</t>
  </si>
  <si>
    <t>Internal usage heat</t>
  </si>
  <si>
    <t>Heat losses</t>
  </si>
  <si>
    <t>Heat quality (average)</t>
  </si>
  <si>
    <t>Net heat production</t>
  </si>
  <si>
    <t>[C]</t>
  </si>
  <si>
    <t>Total nett heat production</t>
  </si>
  <si>
    <t>Total annual input of fuel</t>
  </si>
  <si>
    <t>Results</t>
  </si>
  <si>
    <t>Heat quality</t>
  </si>
  <si>
    <r>
      <t>n</t>
    </r>
    <r>
      <rPr>
        <vertAlign val="subscript"/>
        <sz val="11"/>
        <color indexed="8"/>
        <rFont val="Calibri"/>
        <family val="2"/>
      </rPr>
      <t>el</t>
    </r>
  </si>
  <si>
    <t>Efficiency electricity</t>
  </si>
  <si>
    <t>(average)</t>
  </si>
  <si>
    <r>
      <t>n</t>
    </r>
    <r>
      <rPr>
        <vertAlign val="subscript"/>
        <sz val="11"/>
        <color indexed="8"/>
        <rFont val="Calibri"/>
        <family val="2"/>
      </rPr>
      <t>h1</t>
    </r>
  </si>
  <si>
    <r>
      <t>n</t>
    </r>
    <r>
      <rPr>
        <vertAlign val="subscript"/>
        <sz val="11"/>
        <color indexed="8"/>
        <rFont val="Calibri"/>
        <family val="2"/>
      </rPr>
      <t>h2</t>
    </r>
  </si>
  <si>
    <r>
      <t>n</t>
    </r>
    <r>
      <rPr>
        <vertAlign val="subscript"/>
        <sz val="11"/>
        <color indexed="8"/>
        <rFont val="Calibri"/>
        <family val="2"/>
      </rPr>
      <t>h3</t>
    </r>
  </si>
  <si>
    <r>
      <t>n</t>
    </r>
    <r>
      <rPr>
        <vertAlign val="subscript"/>
        <sz val="11"/>
        <color indexed="8"/>
        <rFont val="Calibri"/>
        <family val="2"/>
      </rPr>
      <t>h4</t>
    </r>
  </si>
  <si>
    <t>Total thermal efficiency</t>
  </si>
  <si>
    <t>Total efficiency</t>
  </si>
  <si>
    <t xml:space="preserve">Розрахунок ефективності електричної та теплової енергії </t>
  </si>
  <si>
    <t>Річне використання ресурсів</t>
  </si>
  <si>
    <t>Річне виробництво енергії</t>
  </si>
  <si>
    <t>Нижча теплота згорання (в перерахунку на сухий залишок)</t>
  </si>
  <si>
    <t>Використання палива</t>
  </si>
  <si>
    <t>[МДж/кг]</t>
  </si>
  <si>
    <t>Кількість</t>
  </si>
  <si>
    <t>[т]</t>
  </si>
  <si>
    <t>Масова частка води</t>
  </si>
  <si>
    <t>Енергія</t>
  </si>
  <si>
    <t>[МВт-год]</t>
  </si>
  <si>
    <t>Загальна кількість використання палива</t>
  </si>
  <si>
    <t>Внутрішнє використання електроенергії</t>
  </si>
  <si>
    <t>Втрати електроенергії</t>
  </si>
  <si>
    <t>Внутрішнє використання теплоенергії</t>
  </si>
  <si>
    <t>Втрати теплоенергії</t>
  </si>
  <si>
    <t>Якість теплоенергії (середня)</t>
  </si>
  <si>
    <t>Валове виробництво електроенергії</t>
  </si>
  <si>
    <t>Валове виробництво теплоенергії</t>
  </si>
  <si>
    <t>Чисте виробництво теплоенергії</t>
  </si>
  <si>
    <t>Чисте виробництво електроенергії</t>
  </si>
  <si>
    <t>Ефективність</t>
  </si>
  <si>
    <t>Загальна ефективість теплоенергії</t>
  </si>
  <si>
    <t>Загальна ефективність</t>
  </si>
  <si>
    <t>Якість теплоенергії</t>
  </si>
  <si>
    <t>(середня)</t>
  </si>
  <si>
    <t xml:space="preserve">Розрахунок ефективності </t>
  </si>
  <si>
    <t>ЗЗК (УкрВер)</t>
  </si>
  <si>
    <t>Версія 4 Громадська</t>
  </si>
  <si>
    <t>Стандартні значення, визначені користувачем</t>
  </si>
  <si>
    <t xml:space="preserve">показник: </t>
  </si>
  <si>
    <t xml:space="preserve">одиниця вимірювання: </t>
  </si>
  <si>
    <t>Коментарі</t>
  </si>
  <si>
    <r>
      <t>гCO</t>
    </r>
    <r>
      <rPr>
        <vertAlign val="subscript"/>
        <sz val="10"/>
        <color indexed="22"/>
        <rFont val="Verdana"/>
        <family val="2"/>
        <charset val="204"/>
      </rPr>
      <t>2</t>
    </r>
    <r>
      <rPr>
        <sz val="10"/>
        <color indexed="22"/>
        <rFont val="Verdana"/>
        <family val="2"/>
        <charset val="204"/>
      </rPr>
      <t>/кг</t>
    </r>
  </si>
  <si>
    <r>
      <t>гCH</t>
    </r>
    <r>
      <rPr>
        <vertAlign val="subscript"/>
        <sz val="10"/>
        <color indexed="22"/>
        <rFont val="Verdana"/>
        <family val="2"/>
        <charset val="204"/>
      </rPr>
      <t>4</t>
    </r>
    <r>
      <rPr>
        <sz val="10"/>
        <color indexed="22"/>
        <rFont val="Verdana"/>
        <family val="2"/>
        <charset val="204"/>
      </rPr>
      <t>/кг</t>
    </r>
  </si>
  <si>
    <r>
      <t>гN</t>
    </r>
    <r>
      <rPr>
        <vertAlign val="subscript"/>
        <sz val="10"/>
        <color indexed="22"/>
        <rFont val="Verdana"/>
        <family val="2"/>
        <charset val="204"/>
      </rPr>
      <t>2</t>
    </r>
    <r>
      <rPr>
        <sz val="10"/>
        <color indexed="22"/>
        <rFont val="Verdana"/>
        <family val="2"/>
        <charset val="204"/>
      </rPr>
      <t>O/кг</t>
    </r>
  </si>
  <si>
    <t>Коефіцієнт викидів ПГ</t>
  </si>
  <si>
    <r>
      <t>гCO</t>
    </r>
    <r>
      <rPr>
        <vertAlign val="subscript"/>
        <sz val="10"/>
        <color indexed="22"/>
        <rFont val="Verdana"/>
        <family val="2"/>
        <charset val="204"/>
      </rPr>
      <t>2-екв</t>
    </r>
    <r>
      <rPr>
        <sz val="10"/>
        <color indexed="22"/>
        <rFont val="Verdana"/>
        <family val="2"/>
        <charset val="204"/>
      </rPr>
      <t>/кг</t>
    </r>
  </si>
  <si>
    <r>
      <t>гCO</t>
    </r>
    <r>
      <rPr>
        <vertAlign val="subscript"/>
        <sz val="10"/>
        <color indexed="22"/>
        <rFont val="Verdana"/>
        <family val="2"/>
        <charset val="204"/>
      </rPr>
      <t>2</t>
    </r>
    <r>
      <rPr>
        <sz val="10"/>
        <color indexed="22"/>
        <rFont val="Verdana"/>
        <family val="2"/>
        <charset val="204"/>
      </rPr>
      <t>/MДж</t>
    </r>
  </si>
  <si>
    <r>
      <t>гCH</t>
    </r>
    <r>
      <rPr>
        <vertAlign val="subscript"/>
        <sz val="10"/>
        <color indexed="22"/>
        <rFont val="Verdana"/>
        <family val="2"/>
        <charset val="204"/>
      </rPr>
      <t>4</t>
    </r>
    <r>
      <rPr>
        <sz val="10"/>
        <color indexed="22"/>
        <rFont val="Verdana"/>
        <family val="2"/>
        <charset val="204"/>
      </rPr>
      <t>/MДж</t>
    </r>
  </si>
  <si>
    <r>
      <t>гN</t>
    </r>
    <r>
      <rPr>
        <vertAlign val="subscript"/>
        <sz val="10"/>
        <color indexed="22"/>
        <rFont val="Verdana"/>
        <family val="2"/>
        <charset val="204"/>
      </rPr>
      <t>2</t>
    </r>
    <r>
      <rPr>
        <sz val="10"/>
        <color indexed="22"/>
        <rFont val="Verdana"/>
        <family val="2"/>
        <charset val="204"/>
      </rPr>
      <t>O/MДж</t>
    </r>
  </si>
  <si>
    <r>
      <t>гCO</t>
    </r>
    <r>
      <rPr>
        <vertAlign val="subscript"/>
        <sz val="10"/>
        <color indexed="22"/>
        <rFont val="Verdana"/>
        <family val="2"/>
        <charset val="204"/>
      </rPr>
      <t>2-екв</t>
    </r>
    <r>
      <rPr>
        <sz val="10"/>
        <color indexed="22"/>
        <rFont val="Verdana"/>
        <family val="2"/>
        <charset val="204"/>
      </rPr>
      <t>/MДж</t>
    </r>
  </si>
  <si>
    <t>Енергія з викопного палива на вході</t>
  </si>
  <si>
    <t>Густина</t>
  </si>
  <si>
    <r>
      <t>кг/м</t>
    </r>
    <r>
      <rPr>
        <vertAlign val="superscript"/>
        <sz val="10"/>
        <color indexed="22"/>
        <rFont val="Verdana"/>
        <family val="2"/>
        <charset val="204"/>
      </rPr>
      <t>3</t>
    </r>
  </si>
  <si>
    <t>НТЗ</t>
  </si>
  <si>
    <t>MДж/кг</t>
  </si>
  <si>
    <t xml:space="preserve"> (при 0% води)</t>
  </si>
  <si>
    <t>Ефективність палива</t>
  </si>
  <si>
    <t>Відпрацьовані гази від транспорту</t>
  </si>
  <si>
    <t>MДжв.п./MДж</t>
  </si>
  <si>
    <t>Mджв.п./кг</t>
  </si>
  <si>
    <t>MДж/т.км</t>
  </si>
  <si>
    <r>
      <t>гCH</t>
    </r>
    <r>
      <rPr>
        <vertAlign val="subscript"/>
        <sz val="10"/>
        <color indexed="22"/>
        <rFont val="Verdana"/>
        <family val="2"/>
        <charset val="204"/>
      </rPr>
      <t>4</t>
    </r>
    <r>
      <rPr>
        <sz val="10"/>
        <color indexed="22"/>
        <rFont val="Verdana"/>
        <family val="2"/>
        <charset val="204"/>
      </rPr>
      <t>/т.км</t>
    </r>
  </si>
  <si>
    <r>
      <t>гN</t>
    </r>
    <r>
      <rPr>
        <vertAlign val="subscript"/>
        <sz val="10"/>
        <color indexed="22"/>
        <rFont val="Verdana"/>
        <family val="2"/>
        <charset val="204"/>
      </rPr>
      <t>2</t>
    </r>
    <r>
      <rPr>
        <sz val="10"/>
        <color indexed="22"/>
        <rFont val="Verdana"/>
        <family val="2"/>
        <charset val="204"/>
      </rPr>
      <t>O/т.км</t>
    </r>
  </si>
  <si>
    <t>Приклад 1 (дизель від стандартних значень)</t>
  </si>
  <si>
    <t>Приклад 2 (метанол від стандартних значень)</t>
  </si>
  <si>
    <t>Приклад 3 (N-добрива від стандартних значень)</t>
  </si>
  <si>
    <t>Джерело</t>
  </si>
  <si>
    <t>Ecoinvent база даних</t>
  </si>
  <si>
    <t>Ремарка / питання</t>
  </si>
  <si>
    <t>Надано …, перевірено …, представлено ….</t>
  </si>
  <si>
    <t xml:space="preserve">Стандартні значення користувача </t>
  </si>
  <si>
    <t xml:space="preserve">Перелік стандартних значень (наведені лише англійською мовою) </t>
  </si>
  <si>
    <t>Коефіцієнти розподілу</t>
  </si>
  <si>
    <t>до СБР</t>
  </si>
  <si>
    <t>Обробка та зберігання пшениці</t>
  </si>
  <si>
    <t xml:space="preserve">Перейти на </t>
  </si>
  <si>
    <t>аркуш ЗЗК</t>
  </si>
  <si>
    <t>Від:</t>
  </si>
  <si>
    <t xml:space="preserve">До: </t>
  </si>
  <si>
    <t>Теплого вологого клімату; одвічні ліси (</t>
  </si>
  <si>
    <t>Теплого вологого клімату; сільськогоспо</t>
  </si>
  <si>
    <t>Польові вимірювання за 3 роки, 100 ділянок, виконані Національним інститутом…</t>
  </si>
  <si>
    <t xml:space="preserve">чи аркуш ESCA для змін у методах упарвління </t>
  </si>
  <si>
    <t>Якщо цукрова тростина:</t>
  </si>
  <si>
    <t>Кількість барди, використаної на полі</t>
  </si>
  <si>
    <t>Кількість фільтр-кеку, використаного н а полі</t>
  </si>
  <si>
    <t>Вміст N у барді, використаної на полі</t>
  </si>
  <si>
    <t>Вміст N у фільтр-кеці, використаного на полі</t>
  </si>
  <si>
    <t>Кількість відходів</t>
  </si>
  <si>
    <t>Частка спалених відходів</t>
  </si>
  <si>
    <t xml:space="preserve">Ефефктивність спалювання відходів </t>
  </si>
  <si>
    <t>Вміст С у відходах</t>
  </si>
  <si>
    <t>Частка N/C у відходах</t>
  </si>
  <si>
    <t>Коефіцієнт викидів N2O)</t>
  </si>
  <si>
    <t>кг барди dm/кг цукрової тростини fm</t>
  </si>
  <si>
    <t>кг фільтр-кеку dm/кг цукрової тростини fm</t>
  </si>
  <si>
    <t>кг N/t барди</t>
  </si>
  <si>
    <t>кг N/t фільтр-кеку</t>
  </si>
  <si>
    <t>кг відходів/т цукрової тростини fm</t>
  </si>
  <si>
    <t>кг С/ кг відходів</t>
  </si>
  <si>
    <t>кг N2O_N/ кг N у відходах</t>
  </si>
  <si>
    <t>за замовчуванням 0,94 від (7)</t>
  </si>
  <si>
    <t>за замовчуванням 0,01 від (7)</t>
  </si>
  <si>
    <t>за замовчуванням 0,36 від (7)</t>
  </si>
  <si>
    <t>за замовчуванням 12,5 від (7)</t>
  </si>
  <si>
    <t>за замовчуванням 100 від (8)</t>
  </si>
  <si>
    <t>за замовчуванням 100% від (8)</t>
  </si>
  <si>
    <t>за замовчуванням 0,5 від (8)</t>
  </si>
  <si>
    <t>за замовчуванням 0,015 від (8)</t>
  </si>
  <si>
    <t>за замовчуванням 0,007 від (8)</t>
  </si>
</sst>
</file>

<file path=xl/styles.xml><?xml version="1.0" encoding="utf-8"?>
<styleSheet xmlns="http://schemas.openxmlformats.org/spreadsheetml/2006/main">
  <numFmts count="14">
    <numFmt numFmtId="164" formatCode="_-&quot;€&quot;\ * #,##0.00_-;_-&quot;€&quot;\ * #,##0.00\-;_-&quot;€&quot;\ * &quot;-&quot;??_-;_-@_-"/>
    <numFmt numFmtId="165" formatCode="_-* #,##0.00_-;_-* #,##0.00\-;_-* &quot;-&quot;??_-;_-@_-"/>
    <numFmt numFmtId="166" formatCode="0.0"/>
    <numFmt numFmtId="167" formatCode="_-* #,##0_-;_-* #,##0\-;_-* &quot;-&quot;??_-;_-@_-"/>
    <numFmt numFmtId="168" formatCode="0.000"/>
    <numFmt numFmtId="169" formatCode="0.0%"/>
    <numFmt numFmtId="170" formatCode="0.0000"/>
    <numFmt numFmtId="171" formatCode="0.00000"/>
    <numFmt numFmtId="172" formatCode="_-* #,##0.0000_-;_-* #,##0.0000\-;_-* &quot;-&quot;??_-;_-@_-"/>
    <numFmt numFmtId="173" formatCode="_-* #,##0.00000_-;_-* #,##0.00000\-;_-* &quot;-&quot;?_-;_-@_-"/>
    <numFmt numFmtId="174" formatCode="0.000000"/>
    <numFmt numFmtId="175" formatCode="_-* #,##0.000_-;_-* #,##0.000\-;_-* &quot;-&quot;??_-;_-@_-"/>
    <numFmt numFmtId="176" formatCode="#,##0.000_ ;\-#,##0.000\ "/>
    <numFmt numFmtId="177" formatCode="#,##0.00_ ;\-#,##0.00\ "/>
  </numFmts>
  <fonts count="201">
    <font>
      <sz val="10"/>
      <name val="Arial"/>
      <charset val="204"/>
    </font>
    <font>
      <sz val="11"/>
      <color theme="1"/>
      <name val="Calibri"/>
      <family val="2"/>
      <charset val="204"/>
      <scheme val="minor"/>
    </font>
    <font>
      <sz val="10"/>
      <name val="Verdana"/>
      <charset val="204"/>
    </font>
    <font>
      <sz val="11"/>
      <color theme="1"/>
      <name val="Calibri"/>
      <family val="2"/>
      <charset val="204"/>
      <scheme val="minor"/>
    </font>
    <font>
      <sz val="10"/>
      <name val="Arial"/>
      <charset val="204"/>
    </font>
    <font>
      <vertAlign val="subscript"/>
      <sz val="10"/>
      <name val="Arial"/>
      <family val="2"/>
      <charset val="204"/>
    </font>
    <font>
      <vertAlign val="superscript"/>
      <sz val="10"/>
      <name val="Arial"/>
      <family val="2"/>
      <charset val="204"/>
    </font>
    <font>
      <b/>
      <sz val="12"/>
      <color indexed="21"/>
      <name val="Arial"/>
      <family val="2"/>
      <charset val="204"/>
    </font>
    <font>
      <b/>
      <sz val="10"/>
      <name val="Arial"/>
      <family val="2"/>
      <charset val="204"/>
    </font>
    <font>
      <b/>
      <vertAlign val="subscript"/>
      <sz val="10"/>
      <name val="Arial"/>
      <family val="2"/>
      <charset val="204"/>
    </font>
    <font>
      <sz val="10"/>
      <name val="Arial"/>
      <charset val="204"/>
    </font>
    <font>
      <u/>
      <sz val="10"/>
      <color indexed="12"/>
      <name val="Arial"/>
      <family val="2"/>
      <charset val="204"/>
    </font>
    <font>
      <sz val="11"/>
      <color indexed="8"/>
      <name val="Calibri"/>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b/>
      <sz val="10"/>
      <color indexed="12"/>
      <name val="Arial"/>
      <family val="2"/>
      <charset val="204"/>
    </font>
    <font>
      <sz val="8"/>
      <name val="Arial"/>
      <family val="2"/>
      <charset val="204"/>
    </font>
    <font>
      <b/>
      <sz val="12"/>
      <color indexed="9"/>
      <name val="Arial"/>
      <family val="2"/>
      <charset val="204"/>
    </font>
    <font>
      <sz val="10"/>
      <color indexed="9"/>
      <name val="Arial"/>
      <family val="2"/>
      <charset val="204"/>
    </font>
    <font>
      <b/>
      <sz val="14"/>
      <color indexed="9"/>
      <name val="Arial"/>
      <family val="2"/>
      <charset val="204"/>
    </font>
    <font>
      <b/>
      <sz val="10"/>
      <color indexed="9"/>
      <name val="Arial"/>
      <family val="2"/>
      <charset val="204"/>
    </font>
    <font>
      <b/>
      <vertAlign val="subscript"/>
      <sz val="10"/>
      <color indexed="9"/>
      <name val="Arial"/>
      <family val="2"/>
      <charset val="204"/>
    </font>
    <font>
      <sz val="10"/>
      <color indexed="9"/>
      <name val="Arial"/>
      <family val="2"/>
      <charset val="204"/>
    </font>
    <font>
      <sz val="14"/>
      <color indexed="9"/>
      <name val="Arial"/>
      <family val="2"/>
      <charset val="204"/>
    </font>
    <font>
      <b/>
      <sz val="14"/>
      <name val="Arial"/>
      <family val="2"/>
      <charset val="204"/>
    </font>
    <font>
      <b/>
      <sz val="9"/>
      <name val="Arial"/>
      <family val="2"/>
      <charset val="204"/>
    </font>
    <font>
      <b/>
      <sz val="10"/>
      <color indexed="9"/>
      <name val="Arial"/>
      <family val="2"/>
      <charset val="204"/>
    </font>
    <font>
      <sz val="10"/>
      <name val="Verdana"/>
      <charset val="204"/>
    </font>
    <font>
      <b/>
      <sz val="10"/>
      <name val="Verdana"/>
      <charset val="204"/>
    </font>
    <font>
      <b/>
      <sz val="10"/>
      <color indexed="18"/>
      <name val="Verdana"/>
      <family val="2"/>
      <charset val="204"/>
    </font>
    <font>
      <vertAlign val="subscript"/>
      <sz val="10"/>
      <name val="Verdana"/>
      <family val="2"/>
      <charset val="204"/>
    </font>
    <font>
      <i/>
      <sz val="10"/>
      <name val="Verdana"/>
      <charset val="204"/>
    </font>
    <font>
      <sz val="10"/>
      <color indexed="55"/>
      <name val="Verdana"/>
      <family val="2"/>
      <charset val="204"/>
    </font>
    <font>
      <b/>
      <i/>
      <sz val="10"/>
      <name val="Verdana"/>
      <charset val="204"/>
    </font>
    <font>
      <i/>
      <sz val="10"/>
      <name val="Arial"/>
      <family val="2"/>
      <charset val="204"/>
    </font>
    <font>
      <b/>
      <sz val="10"/>
      <color indexed="10"/>
      <name val="Arial"/>
      <family val="2"/>
      <charset val="204"/>
    </font>
    <font>
      <b/>
      <vertAlign val="subscript"/>
      <sz val="12"/>
      <color indexed="9"/>
      <name val="Arial"/>
      <family val="2"/>
      <charset val="204"/>
    </font>
    <font>
      <sz val="9"/>
      <name val="Arial"/>
      <family val="2"/>
      <charset val="204"/>
    </font>
    <font>
      <b/>
      <sz val="10"/>
      <color indexed="18"/>
      <name val="Arial"/>
      <family val="2"/>
      <charset val="204"/>
    </font>
    <font>
      <b/>
      <i/>
      <sz val="10"/>
      <color indexed="9"/>
      <name val="Arial"/>
      <family val="2"/>
      <charset val="204"/>
    </font>
    <font>
      <b/>
      <i/>
      <vertAlign val="subscript"/>
      <sz val="10"/>
      <color indexed="9"/>
      <name val="Arial"/>
      <family val="2"/>
      <charset val="204"/>
    </font>
    <font>
      <b/>
      <sz val="12"/>
      <color indexed="22"/>
      <name val="Arial"/>
      <family val="2"/>
      <charset val="204"/>
    </font>
    <font>
      <b/>
      <u/>
      <sz val="12"/>
      <color indexed="22"/>
      <name val="Arial"/>
      <family val="2"/>
      <charset val="204"/>
    </font>
    <font>
      <i/>
      <sz val="10"/>
      <name val="Arial"/>
      <family val="2"/>
      <charset val="204"/>
    </font>
    <font>
      <b/>
      <sz val="14"/>
      <color indexed="8"/>
      <name val="Arial"/>
      <family val="2"/>
      <charset val="204"/>
    </font>
    <font>
      <sz val="14"/>
      <color indexed="8"/>
      <name val="Arial"/>
      <family val="2"/>
      <charset val="204"/>
    </font>
    <font>
      <sz val="10"/>
      <color indexed="26"/>
      <name val="Arial"/>
      <family val="2"/>
      <charset val="204"/>
    </font>
    <font>
      <b/>
      <sz val="10"/>
      <color indexed="26"/>
      <name val="Arial"/>
      <family val="2"/>
      <charset val="204"/>
    </font>
    <font>
      <b/>
      <sz val="10"/>
      <color indexed="26"/>
      <name val="Arial"/>
      <family val="2"/>
      <charset val="204"/>
    </font>
    <font>
      <sz val="10"/>
      <color indexed="26"/>
      <name val="Arial"/>
      <family val="2"/>
      <charset val="204"/>
    </font>
    <font>
      <b/>
      <sz val="10"/>
      <color indexed="9"/>
      <name val="Verdana"/>
      <family val="2"/>
      <charset val="204"/>
    </font>
    <font>
      <sz val="10"/>
      <color indexed="9"/>
      <name val="Verdana"/>
      <family val="2"/>
      <charset val="204"/>
    </font>
    <font>
      <b/>
      <sz val="10"/>
      <color indexed="22"/>
      <name val="Verdana"/>
      <family val="2"/>
      <charset val="204"/>
    </font>
    <font>
      <sz val="10"/>
      <color indexed="22"/>
      <name val="Verdana"/>
      <family val="2"/>
      <charset val="204"/>
    </font>
    <font>
      <i/>
      <sz val="10"/>
      <color indexed="22"/>
      <name val="Verdana"/>
      <family val="2"/>
      <charset val="204"/>
    </font>
    <font>
      <b/>
      <sz val="10"/>
      <color indexed="27"/>
      <name val="Verdana"/>
      <family val="2"/>
      <charset val="204"/>
    </font>
    <font>
      <vertAlign val="subscript"/>
      <sz val="10"/>
      <color indexed="22"/>
      <name val="Verdana"/>
      <family val="2"/>
      <charset val="204"/>
    </font>
    <font>
      <b/>
      <sz val="16"/>
      <color indexed="9"/>
      <name val="Verdana"/>
      <family val="2"/>
      <charset val="204"/>
    </font>
    <font>
      <b/>
      <i/>
      <sz val="10"/>
      <color indexed="27"/>
      <name val="Verdana"/>
      <family val="2"/>
      <charset val="204"/>
    </font>
    <font>
      <i/>
      <sz val="10"/>
      <color indexed="27"/>
      <name val="Arial"/>
      <family val="2"/>
      <charset val="204"/>
    </font>
    <font>
      <sz val="12"/>
      <name val="Arial"/>
      <family val="2"/>
      <charset val="204"/>
    </font>
    <font>
      <vertAlign val="superscript"/>
      <sz val="10"/>
      <color indexed="22"/>
      <name val="Verdana"/>
      <family val="2"/>
      <charset val="204"/>
    </font>
    <font>
      <sz val="14"/>
      <name val="Arial"/>
      <family val="2"/>
      <charset val="204"/>
    </font>
    <font>
      <u/>
      <sz val="14"/>
      <color indexed="12"/>
      <name val="Arial"/>
      <family val="2"/>
      <charset val="204"/>
    </font>
    <font>
      <sz val="10"/>
      <color indexed="41"/>
      <name val="Verdana"/>
      <family val="2"/>
      <charset val="204"/>
    </font>
    <font>
      <u/>
      <sz val="10"/>
      <name val="Arial"/>
      <family val="2"/>
      <charset val="204"/>
    </font>
    <font>
      <sz val="10"/>
      <color indexed="22"/>
      <name val="Arial"/>
      <family val="2"/>
      <charset val="204"/>
    </font>
    <font>
      <b/>
      <sz val="10"/>
      <name val="Arial"/>
      <family val="2"/>
      <charset val="204"/>
    </font>
    <font>
      <sz val="10"/>
      <color indexed="18"/>
      <name val="Arial"/>
      <family val="2"/>
      <charset val="204"/>
    </font>
    <font>
      <b/>
      <sz val="20"/>
      <color indexed="9"/>
      <name val="Arial"/>
      <family val="2"/>
      <charset val="204"/>
    </font>
    <font>
      <i/>
      <vertAlign val="subscript"/>
      <sz val="10"/>
      <name val="Arial"/>
      <family val="2"/>
      <charset val="204"/>
    </font>
    <font>
      <b/>
      <vertAlign val="superscript"/>
      <sz val="10"/>
      <name val="Arial"/>
      <family val="2"/>
      <charset val="204"/>
    </font>
    <font>
      <b/>
      <sz val="10"/>
      <color indexed="62"/>
      <name val="Arial"/>
      <family val="2"/>
      <charset val="204"/>
    </font>
    <font>
      <b/>
      <vertAlign val="subscript"/>
      <sz val="10"/>
      <color indexed="62"/>
      <name val="Arial"/>
      <family val="2"/>
      <charset val="204"/>
    </font>
    <font>
      <b/>
      <vertAlign val="superscript"/>
      <sz val="10"/>
      <color indexed="62"/>
      <name val="Arial"/>
      <family val="2"/>
      <charset val="204"/>
    </font>
    <font>
      <b/>
      <sz val="11"/>
      <name val="Arial"/>
      <family val="2"/>
      <charset val="204"/>
    </font>
    <font>
      <b/>
      <vertAlign val="subscript"/>
      <sz val="11"/>
      <name val="Arial"/>
      <family val="2"/>
      <charset val="204"/>
    </font>
    <font>
      <sz val="10"/>
      <color indexed="60"/>
      <name val="Arial"/>
      <family val="2"/>
      <charset val="204"/>
    </font>
    <font>
      <sz val="10"/>
      <color indexed="62"/>
      <name val="Arial"/>
      <family val="2"/>
      <charset val="204"/>
    </font>
    <font>
      <b/>
      <sz val="10"/>
      <color indexed="62"/>
      <name val="Arial"/>
      <family val="2"/>
      <charset val="204"/>
    </font>
    <font>
      <sz val="8"/>
      <name val="Arial"/>
      <family val="2"/>
      <charset val="204"/>
    </font>
    <font>
      <sz val="10"/>
      <color indexed="41"/>
      <name val="Arial"/>
      <family val="2"/>
      <charset val="204"/>
    </font>
    <font>
      <u/>
      <sz val="10"/>
      <color indexed="12"/>
      <name val="Arial"/>
      <family val="2"/>
      <charset val="204"/>
    </font>
    <font>
      <sz val="8"/>
      <name val="Arial"/>
      <family val="2"/>
      <charset val="204"/>
    </font>
    <font>
      <sz val="10"/>
      <name val="Calibri"/>
      <family val="2"/>
    </font>
    <font>
      <sz val="10"/>
      <color indexed="55"/>
      <name val="Arial"/>
      <family val="2"/>
      <charset val="204"/>
    </font>
    <font>
      <sz val="10"/>
      <color indexed="40"/>
      <name val="Arial"/>
      <family val="2"/>
      <charset val="204"/>
    </font>
    <font>
      <b/>
      <u/>
      <sz val="10"/>
      <name val="Arial"/>
      <family val="2"/>
      <charset val="204"/>
    </font>
    <font>
      <b/>
      <vertAlign val="subscript"/>
      <sz val="14"/>
      <color indexed="9"/>
      <name val="Arial"/>
      <family val="2"/>
      <charset val="204"/>
    </font>
    <font>
      <b/>
      <u/>
      <vertAlign val="subscript"/>
      <sz val="10"/>
      <name val="Arial"/>
      <family val="2"/>
      <charset val="204"/>
    </font>
    <font>
      <b/>
      <sz val="12"/>
      <color indexed="19"/>
      <name val="Arial"/>
      <family val="2"/>
      <charset val="204"/>
    </font>
    <font>
      <u/>
      <sz val="10"/>
      <color indexed="62"/>
      <name val="Arial"/>
      <family val="2"/>
      <charset val="204"/>
    </font>
    <font>
      <b/>
      <vertAlign val="subscript"/>
      <sz val="12"/>
      <color indexed="19"/>
      <name val="Arial"/>
      <family val="2"/>
      <charset val="204"/>
    </font>
    <font>
      <u/>
      <vertAlign val="subscript"/>
      <sz val="10"/>
      <color indexed="12"/>
      <name val="Arial"/>
      <family val="2"/>
      <charset val="204"/>
    </font>
    <font>
      <sz val="10"/>
      <color indexed="16"/>
      <name val="Arial"/>
      <family val="2"/>
      <charset val="204"/>
    </font>
    <font>
      <b/>
      <sz val="10"/>
      <color indexed="16"/>
      <name val="Arial"/>
      <family val="2"/>
      <charset val="204"/>
    </font>
    <font>
      <b/>
      <vertAlign val="subscript"/>
      <sz val="10"/>
      <color indexed="16"/>
      <name val="Arial"/>
      <family val="2"/>
      <charset val="204"/>
    </font>
    <font>
      <vertAlign val="subscript"/>
      <sz val="10"/>
      <color indexed="16"/>
      <name val="Arial"/>
      <family val="2"/>
      <charset val="204"/>
    </font>
    <font>
      <b/>
      <u/>
      <sz val="10"/>
      <color indexed="62"/>
      <name val="Arial"/>
      <family val="2"/>
      <charset val="204"/>
    </font>
    <font>
      <i/>
      <sz val="10"/>
      <color indexed="62"/>
      <name val="Arial"/>
      <family val="2"/>
      <charset val="204"/>
    </font>
    <font>
      <sz val="10"/>
      <color indexed="27"/>
      <name val="Arial"/>
      <family val="2"/>
      <charset val="204"/>
    </font>
    <font>
      <sz val="10"/>
      <color indexed="9"/>
      <name val="Arial"/>
      <family val="2"/>
      <charset val="204"/>
    </font>
    <font>
      <sz val="10"/>
      <color indexed="19"/>
      <name val="Arial"/>
      <family val="2"/>
      <charset val="204"/>
    </font>
    <font>
      <b/>
      <sz val="12"/>
      <color indexed="19"/>
      <name val="Arial"/>
      <family val="2"/>
      <charset val="204"/>
    </font>
    <font>
      <sz val="10"/>
      <color indexed="62"/>
      <name val="Arial"/>
      <family val="2"/>
      <charset val="204"/>
    </font>
    <font>
      <sz val="10"/>
      <color indexed="22"/>
      <name val="Arial"/>
      <family val="2"/>
      <charset val="204"/>
    </font>
    <font>
      <sz val="9"/>
      <color indexed="19"/>
      <name val="Arial"/>
      <family val="2"/>
      <charset val="204"/>
    </font>
    <font>
      <b/>
      <sz val="10"/>
      <color indexed="62"/>
      <name val="Arial"/>
      <family val="2"/>
      <charset val="204"/>
    </font>
    <font>
      <sz val="10"/>
      <color indexed="62"/>
      <name val="Arial"/>
      <family val="2"/>
      <charset val="204"/>
    </font>
    <font>
      <b/>
      <sz val="10"/>
      <color indexed="27"/>
      <name val="Arial"/>
      <family val="2"/>
      <charset val="204"/>
    </font>
    <font>
      <sz val="10"/>
      <color indexed="16"/>
      <name val="Arial"/>
      <family val="2"/>
      <charset val="204"/>
    </font>
    <font>
      <b/>
      <sz val="10"/>
      <color indexed="16"/>
      <name val="Arial"/>
      <family val="2"/>
      <charset val="204"/>
    </font>
    <font>
      <sz val="8"/>
      <color indexed="81"/>
      <name val="Tahoma"/>
      <charset val="204"/>
    </font>
    <font>
      <b/>
      <sz val="8"/>
      <color indexed="81"/>
      <name val="Tahoma"/>
      <charset val="204"/>
    </font>
    <font>
      <u/>
      <sz val="10"/>
      <color indexed="12"/>
      <name val="Arial"/>
      <family val="2"/>
      <charset val="204"/>
    </font>
    <font>
      <sz val="20"/>
      <name val="Symbol"/>
    </font>
    <font>
      <sz val="20"/>
      <name val="Arial"/>
      <family val="2"/>
      <charset val="204"/>
    </font>
    <font>
      <b/>
      <u/>
      <sz val="14"/>
      <name val="Arial"/>
      <family val="2"/>
      <charset val="204"/>
    </font>
    <font>
      <sz val="10"/>
      <color indexed="81"/>
      <name val="Arial"/>
      <family val="2"/>
      <charset val="204"/>
    </font>
    <font>
      <vertAlign val="subscript"/>
      <sz val="10"/>
      <color indexed="81"/>
      <name val="Arial"/>
      <family val="2"/>
      <charset val="204"/>
    </font>
    <font>
      <vertAlign val="superscript"/>
      <sz val="10"/>
      <color indexed="81"/>
      <name val="Arial"/>
      <family val="2"/>
      <charset val="204"/>
    </font>
    <font>
      <u/>
      <sz val="20"/>
      <color indexed="12"/>
      <name val="Arial"/>
      <charset val="204"/>
    </font>
    <font>
      <sz val="18"/>
      <name val="Arial"/>
      <charset val="204"/>
    </font>
    <font>
      <sz val="12"/>
      <name val="Times New Roman"/>
      <charset val="204"/>
    </font>
    <font>
      <sz val="12"/>
      <name val="Wingdings"/>
    </font>
    <font>
      <sz val="7"/>
      <name val="Times New Roman"/>
      <family val="1"/>
      <charset val="204"/>
    </font>
    <font>
      <sz val="8"/>
      <name val="Arial"/>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1"/>
      <name val="Calibri"/>
      <family val="2"/>
      <charset val="204"/>
      <scheme val="minor"/>
    </font>
    <font>
      <sz val="11"/>
      <color theme="0"/>
      <name val="Calibri"/>
      <family val="2"/>
      <charset val="204"/>
      <scheme val="minor"/>
    </font>
    <font>
      <sz val="10"/>
      <name val="Arial"/>
      <charset val="204"/>
    </font>
    <font>
      <b/>
      <sz val="11"/>
      <color indexed="9"/>
      <name val="Arial"/>
      <family val="2"/>
      <charset val="204"/>
    </font>
    <font>
      <b/>
      <sz val="12"/>
      <name val="Arial"/>
      <family val="2"/>
      <charset val="204"/>
    </font>
    <font>
      <sz val="10"/>
      <color indexed="81"/>
      <name val="Tahoma"/>
      <family val="2"/>
      <charset val="204"/>
    </font>
    <font>
      <sz val="10"/>
      <color indexed="10"/>
      <name val="Arial"/>
      <family val="2"/>
      <charset val="204"/>
    </font>
    <font>
      <sz val="11"/>
      <color indexed="8"/>
      <name val="Arial"/>
      <family val="2"/>
      <charset val="204"/>
    </font>
    <font>
      <i/>
      <sz val="10"/>
      <color indexed="8"/>
      <name val="Arial"/>
      <family val="2"/>
      <charset val="204"/>
    </font>
    <font>
      <sz val="10"/>
      <color indexed="8"/>
      <name val="Arial"/>
      <family val="2"/>
      <charset val="204"/>
    </font>
    <font>
      <b/>
      <sz val="10"/>
      <color theme="3" tint="-0.249977111117893"/>
      <name val="Arial"/>
      <family val="2"/>
      <charset val="204"/>
    </font>
    <font>
      <vertAlign val="subscript"/>
      <sz val="10"/>
      <color indexed="8"/>
      <name val="Arial"/>
      <family val="2"/>
      <charset val="204"/>
    </font>
    <font>
      <b/>
      <sz val="10"/>
      <color indexed="8"/>
      <name val="Arial"/>
      <family val="2"/>
      <charset val="204"/>
    </font>
    <font>
      <b/>
      <vertAlign val="subscript"/>
      <sz val="10"/>
      <color indexed="8"/>
      <name val="Arial"/>
      <family val="2"/>
      <charset val="204"/>
    </font>
    <font>
      <sz val="10"/>
      <color theme="3" tint="-0.249977111117893"/>
      <name val="Arial"/>
      <family val="2"/>
      <charset val="204"/>
    </font>
    <font>
      <sz val="11"/>
      <color theme="3" tint="-0.249977111117893"/>
      <name val="Calibri"/>
      <family val="2"/>
      <charset val="204"/>
      <scheme val="minor"/>
    </font>
    <font>
      <i/>
      <sz val="9"/>
      <name val="Arial"/>
      <family val="2"/>
      <charset val="204"/>
    </font>
    <font>
      <sz val="10"/>
      <color theme="0" tint="-0.34998626667073579"/>
      <name val="Arial"/>
      <family val="2"/>
      <charset val="204"/>
    </font>
    <font>
      <sz val="9"/>
      <color indexed="16"/>
      <name val="Arial"/>
      <family val="2"/>
      <charset val="204"/>
    </font>
    <font>
      <vertAlign val="subscript"/>
      <sz val="9"/>
      <color indexed="16"/>
      <name val="Arial"/>
      <family val="2"/>
      <charset val="204"/>
    </font>
    <font>
      <b/>
      <sz val="10"/>
      <color indexed="19"/>
      <name val="Arial"/>
      <family val="2"/>
      <charset val="204"/>
    </font>
    <font>
      <b/>
      <vertAlign val="subscript"/>
      <sz val="10"/>
      <color indexed="19"/>
      <name val="Arial"/>
      <family val="2"/>
      <charset val="204"/>
    </font>
    <font>
      <sz val="12"/>
      <name val="Times New Roman"/>
      <charset val="204"/>
    </font>
    <font>
      <sz val="18"/>
      <name val="Arial"/>
      <charset val="204"/>
    </font>
    <font>
      <u/>
      <sz val="20"/>
      <color indexed="12"/>
      <name val="Arial"/>
      <charset val="204"/>
    </font>
    <font>
      <b/>
      <sz val="8"/>
      <color indexed="9"/>
      <name val="Arial"/>
      <family val="2"/>
      <charset val="204"/>
    </font>
    <font>
      <sz val="16"/>
      <name val="Arial"/>
      <family val="2"/>
      <charset val="204"/>
    </font>
    <font>
      <sz val="14"/>
      <name val="Times New Roman"/>
      <family val="1"/>
      <charset val="204"/>
    </font>
    <font>
      <sz val="14"/>
      <name val="Wingdings"/>
      <charset val="2"/>
    </font>
    <font>
      <b/>
      <sz val="16"/>
      <color indexed="9"/>
      <name val="Arial"/>
      <family val="2"/>
      <charset val="204"/>
    </font>
    <font>
      <b/>
      <sz val="10"/>
      <color indexed="9"/>
      <name val="Arial"/>
      <family val="2"/>
      <charset val="204"/>
    </font>
    <font>
      <sz val="8"/>
      <name val="Verdana"/>
      <charset val="204"/>
    </font>
    <font>
      <vertAlign val="subscript"/>
      <sz val="14"/>
      <name val="Arial"/>
      <charset val="204"/>
    </font>
    <font>
      <sz val="10"/>
      <name val="Arial"/>
      <family val="2"/>
      <charset val="204"/>
    </font>
    <font>
      <sz val="10"/>
      <color rgb="FFFF0000"/>
      <name val="Arial"/>
      <family val="2"/>
      <charset val="204"/>
    </font>
    <font>
      <b/>
      <sz val="10"/>
      <color rgb="FFFF0000"/>
      <name val="Arial"/>
      <family val="2"/>
      <charset val="204"/>
    </font>
    <font>
      <b/>
      <sz val="8"/>
      <color rgb="FFFF0000"/>
      <name val="Arial"/>
      <family val="2"/>
      <charset val="204"/>
    </font>
    <font>
      <sz val="10"/>
      <name val="Arial"/>
      <family val="2"/>
    </font>
    <font>
      <b/>
      <sz val="14"/>
      <color indexed="9"/>
      <name val="Arial"/>
      <family val="2"/>
    </font>
    <font>
      <sz val="10"/>
      <color indexed="9"/>
      <name val="Arial"/>
      <family val="2"/>
    </font>
    <font>
      <b/>
      <sz val="10"/>
      <color indexed="9"/>
      <name val="Arial"/>
      <family val="2"/>
    </font>
    <font>
      <b/>
      <sz val="12"/>
      <color indexed="9"/>
      <name val="Arial"/>
      <family val="2"/>
    </font>
    <font>
      <b/>
      <sz val="11"/>
      <color theme="1"/>
      <name val="Calibri"/>
      <family val="2"/>
      <scheme val="minor"/>
    </font>
    <font>
      <b/>
      <sz val="10"/>
      <color indexed="26"/>
      <name val="Arial"/>
      <family val="2"/>
    </font>
    <font>
      <sz val="10"/>
      <color theme="1"/>
      <name val="Arial"/>
      <family val="2"/>
    </font>
    <font>
      <vertAlign val="subscript"/>
      <sz val="11"/>
      <color indexed="8"/>
      <name val="Calibri"/>
      <family val="2"/>
    </font>
    <font>
      <sz val="10"/>
      <name val="Verdana"/>
      <family val="2"/>
      <charset val="204"/>
    </font>
    <font>
      <sz val="8"/>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26"/>
        <bgColor indexed="64"/>
      </patternFill>
    </fill>
    <fill>
      <patternFill patternType="solid">
        <fgColor indexed="27"/>
        <bgColor indexed="64"/>
      </patternFill>
    </fill>
    <fill>
      <patternFill patternType="solid">
        <fgColor indexed="24"/>
        <bgColor indexed="64"/>
      </patternFill>
    </fill>
    <fill>
      <patternFill patternType="solid">
        <fgColor indexed="25"/>
        <bgColor indexed="64"/>
      </patternFill>
    </fill>
    <fill>
      <patternFill patternType="solid">
        <fgColor indexed="50"/>
        <bgColor indexed="64"/>
      </patternFill>
    </fill>
    <fill>
      <patternFill patternType="solid">
        <fgColor indexed="40"/>
        <bgColor indexed="64"/>
      </patternFill>
    </fill>
    <fill>
      <patternFill patternType="solid">
        <fgColor indexed="19"/>
        <bgColor indexed="64"/>
      </patternFill>
    </fill>
    <fill>
      <patternFill patternType="solid">
        <fgColor indexed="34"/>
        <bgColor indexed="64"/>
      </patternFill>
    </fill>
    <fill>
      <patternFill patternType="solid">
        <fgColor theme="9"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rgb="FFFFCC99"/>
      </patternFill>
    </fill>
    <fill>
      <patternFill patternType="solid">
        <fgColor rgb="FFFFC7CE"/>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4" tint="-0.249977111117893"/>
        <bgColor indexed="64"/>
      </patternFill>
    </fill>
    <fill>
      <patternFill patternType="solid">
        <fgColor indexed="63"/>
        <bgColor indexed="64"/>
      </patternFill>
    </fill>
    <fill>
      <patternFill patternType="solid">
        <fgColor indexed="11"/>
        <bgColor indexed="64"/>
      </patternFill>
    </fill>
    <fill>
      <patternFill patternType="solid">
        <fgColor indexed="55"/>
        <bgColor indexed="64"/>
      </patternFill>
    </fill>
    <fill>
      <patternFill patternType="solid">
        <fgColor rgb="FFBFBFBF"/>
        <bgColor indexed="64"/>
      </patternFill>
    </fill>
    <fill>
      <patternFill patternType="solid">
        <fgColor rgb="FFA0BE91"/>
        <bgColor indexed="64"/>
      </patternFill>
    </fill>
  </fills>
  <borders count="2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27"/>
      </left>
      <right style="dashed">
        <color indexed="27"/>
      </right>
      <top style="dashed">
        <color indexed="27"/>
      </top>
      <bottom style="dashed">
        <color indexed="27"/>
      </bottom>
      <diagonal/>
    </border>
    <border>
      <left/>
      <right style="dashed">
        <color indexed="27"/>
      </right>
      <top style="dashed">
        <color indexed="27"/>
      </top>
      <bottom style="dashed">
        <color indexed="27"/>
      </bottom>
      <diagonal/>
    </border>
    <border>
      <left style="dashed">
        <color indexed="27"/>
      </left>
      <right style="dashed">
        <color indexed="27"/>
      </right>
      <top/>
      <bottom style="dashed">
        <color indexed="27"/>
      </bottom>
      <diagonal/>
    </border>
    <border>
      <left/>
      <right style="medium">
        <color indexed="64"/>
      </right>
      <top/>
      <bottom/>
      <diagonal/>
    </border>
    <border>
      <left/>
      <right style="medium">
        <color indexed="64"/>
      </right>
      <top/>
      <bottom style="thin">
        <color indexed="64"/>
      </bottom>
      <diagonal/>
    </border>
    <border>
      <left/>
      <right style="thick">
        <color indexed="64"/>
      </right>
      <top/>
      <bottom/>
      <diagonal/>
    </border>
    <border>
      <left/>
      <right style="dashed">
        <color indexed="27"/>
      </right>
      <top/>
      <bottom style="dashed">
        <color indexed="27"/>
      </bottom>
      <diagonal/>
    </border>
    <border>
      <left/>
      <right style="medium">
        <color indexed="64"/>
      </right>
      <top style="dashed">
        <color indexed="27"/>
      </top>
      <bottom style="dashed">
        <color indexed="27"/>
      </bottom>
      <diagonal/>
    </border>
    <border>
      <left style="thin">
        <color indexed="64"/>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dashed">
        <color indexed="27"/>
      </right>
      <top style="dashed">
        <color indexed="27"/>
      </top>
      <bottom style="dashed">
        <color indexed="27"/>
      </bottom>
      <diagonal/>
    </border>
    <border>
      <left style="medium">
        <color indexed="64"/>
      </left>
      <right style="dashed">
        <color indexed="27"/>
      </right>
      <top style="dashed">
        <color indexed="27"/>
      </top>
      <bottom style="medium">
        <color indexed="64"/>
      </bottom>
      <diagonal/>
    </border>
    <border>
      <left/>
      <right style="dashed">
        <color indexed="27"/>
      </right>
      <top style="dashed">
        <color indexed="27"/>
      </top>
      <bottom style="medium">
        <color indexed="64"/>
      </bottom>
      <diagonal/>
    </border>
    <border>
      <left style="dashed">
        <color indexed="27"/>
      </left>
      <right style="dashed">
        <color indexed="27"/>
      </right>
      <top style="dashed">
        <color indexed="27"/>
      </top>
      <bottom style="medium">
        <color indexed="64"/>
      </bottom>
      <diagonal/>
    </border>
    <border>
      <left style="dashed">
        <color indexed="27"/>
      </left>
      <right style="medium">
        <color indexed="64"/>
      </right>
      <top style="dashed">
        <color indexed="27"/>
      </top>
      <bottom style="medium">
        <color indexed="64"/>
      </bottom>
      <diagonal/>
    </border>
    <border>
      <left style="dashed">
        <color indexed="27"/>
      </left>
      <right style="medium">
        <color indexed="64"/>
      </right>
      <top style="dashed">
        <color indexed="27"/>
      </top>
      <bottom style="dashed">
        <color indexed="27"/>
      </bottom>
      <diagonal/>
    </border>
    <border>
      <left style="dashed">
        <color indexed="27"/>
      </left>
      <right style="medium">
        <color indexed="64"/>
      </right>
      <top/>
      <bottom style="dashed">
        <color indexed="27"/>
      </bottom>
      <diagonal/>
    </border>
    <border>
      <left style="medium">
        <color indexed="64"/>
      </left>
      <right style="medium">
        <color indexed="64"/>
      </right>
      <top/>
      <bottom style="dashed">
        <color indexed="27"/>
      </bottom>
      <diagonal/>
    </border>
    <border>
      <left style="medium">
        <color indexed="64"/>
      </left>
      <right style="medium">
        <color indexed="64"/>
      </right>
      <top style="dashed">
        <color indexed="27"/>
      </top>
      <bottom style="dashed">
        <color indexed="27"/>
      </bottom>
      <diagonal/>
    </border>
    <border>
      <left style="medium">
        <color indexed="64"/>
      </left>
      <right style="medium">
        <color indexed="64"/>
      </right>
      <top style="dashed">
        <color indexed="27"/>
      </top>
      <bottom style="medium">
        <color indexed="64"/>
      </bottom>
      <diagonal/>
    </border>
    <border>
      <left/>
      <right style="medium">
        <color indexed="64"/>
      </right>
      <top/>
      <bottom style="dashed">
        <color indexed="27"/>
      </bottom>
      <diagonal/>
    </border>
    <border>
      <left/>
      <right style="medium">
        <color indexed="64"/>
      </right>
      <top/>
      <bottom style="thin">
        <color indexed="8"/>
      </bottom>
      <diagonal/>
    </border>
    <border>
      <left style="thin">
        <color indexed="64"/>
      </left>
      <right/>
      <top/>
      <bottom style="thin">
        <color indexed="8"/>
      </bottom>
      <diagonal/>
    </border>
    <border>
      <left/>
      <right style="medium">
        <color indexed="64"/>
      </right>
      <top style="medium">
        <color indexed="64"/>
      </top>
      <bottom style="medium">
        <color indexed="64"/>
      </bottom>
      <diagonal/>
    </border>
    <border>
      <left style="medium">
        <color indexed="64"/>
      </left>
      <right style="dashed">
        <color indexed="27"/>
      </right>
      <top/>
      <bottom style="dashed">
        <color indexed="27"/>
      </bottom>
      <diagonal/>
    </border>
    <border>
      <left/>
      <right style="dashed">
        <color indexed="64"/>
      </right>
      <top style="dashed">
        <color indexed="64"/>
      </top>
      <bottom/>
      <diagonal/>
    </border>
    <border>
      <left style="dashed">
        <color indexed="64"/>
      </left>
      <right style="medium">
        <color indexed="64"/>
      </right>
      <top style="dashed">
        <color indexed="64"/>
      </top>
      <bottom/>
      <diagonal/>
    </border>
    <border>
      <left/>
      <right style="medium">
        <color indexed="64"/>
      </right>
      <top style="dashed">
        <color indexed="64"/>
      </top>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diagonal/>
    </border>
    <border>
      <left style="dashed">
        <color indexed="64"/>
      </left>
      <right style="medium">
        <color indexed="64"/>
      </right>
      <top/>
      <bottom/>
      <diagonal/>
    </border>
    <border>
      <left/>
      <right style="dashed">
        <color indexed="64"/>
      </right>
      <top style="dott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ashed">
        <color indexed="64"/>
      </bottom>
      <diagonal/>
    </border>
    <border>
      <left style="dashed">
        <color indexed="64"/>
      </left>
      <right style="medium">
        <color indexed="64"/>
      </right>
      <top style="dotted">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diagonal/>
    </border>
    <border>
      <left style="medium">
        <color indexed="64"/>
      </left>
      <right/>
      <top style="dashed">
        <color indexed="64"/>
      </top>
      <bottom/>
      <diagonal/>
    </border>
    <border>
      <left/>
      <right style="dotted">
        <color indexed="64"/>
      </right>
      <top style="dash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dashed">
        <color indexed="64"/>
      </bottom>
      <diagonal/>
    </border>
    <border>
      <left style="dashed">
        <color indexed="64"/>
      </left>
      <right style="dashed">
        <color indexed="64"/>
      </right>
      <top style="dashed">
        <color indexed="64"/>
      </top>
      <bottom/>
      <diagonal/>
    </border>
    <border>
      <left style="dotted">
        <color indexed="64"/>
      </left>
      <right style="dotted">
        <color indexed="64"/>
      </right>
      <top style="dash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ashed">
        <color indexed="64"/>
      </bottom>
      <diagonal/>
    </border>
    <border>
      <left style="dotted">
        <color indexed="64"/>
      </left>
      <right style="medium">
        <color indexed="64"/>
      </right>
      <top style="dash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dashed">
        <color indexed="64"/>
      </bottom>
      <diagonal/>
    </border>
    <border>
      <left/>
      <right style="dashed">
        <color indexed="64"/>
      </right>
      <top style="dotted">
        <color indexed="64"/>
      </top>
      <bottom style="dashed">
        <color indexed="64"/>
      </bottom>
      <diagonal/>
    </border>
    <border>
      <left style="medium">
        <color indexed="64"/>
      </left>
      <right style="thin">
        <color indexed="64"/>
      </right>
      <top/>
      <bottom/>
      <diagonal/>
    </border>
    <border>
      <left style="thin">
        <color indexed="12"/>
      </left>
      <right style="thin">
        <color indexed="12"/>
      </right>
      <top style="thin">
        <color indexed="12"/>
      </top>
      <bottom style="thin">
        <color indexed="12"/>
      </bottom>
      <diagonal/>
    </border>
    <border>
      <left/>
      <right style="dashed">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right/>
      <top/>
      <bottom style="thin">
        <color indexed="30"/>
      </bottom>
      <diagonal/>
    </border>
    <border>
      <left/>
      <right/>
      <top style="dashed">
        <color indexed="64"/>
      </top>
      <bottom/>
      <diagonal/>
    </border>
    <border>
      <left style="thin">
        <color indexed="30"/>
      </left>
      <right style="thin">
        <color indexed="30"/>
      </right>
      <top style="thin">
        <color indexed="30"/>
      </top>
      <bottom style="thin">
        <color indexed="30"/>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right/>
      <top style="thin">
        <color indexed="12"/>
      </top>
      <bottom/>
      <diagonal/>
    </border>
    <border>
      <left style="thin">
        <color indexed="62"/>
      </left>
      <right/>
      <top style="thin">
        <color indexed="62"/>
      </top>
      <bottom/>
      <diagonal/>
    </border>
    <border>
      <left/>
      <right/>
      <top style="thin">
        <color indexed="62"/>
      </top>
      <bottom/>
      <diagonal/>
    </border>
    <border>
      <left/>
      <right style="thin">
        <color indexed="62"/>
      </right>
      <top style="thin">
        <color indexed="62"/>
      </top>
      <bottom/>
      <diagonal/>
    </border>
    <border>
      <left/>
      <right style="thin">
        <color indexed="62"/>
      </right>
      <top/>
      <bottom/>
      <diagonal/>
    </border>
    <border>
      <left style="thin">
        <color indexed="62"/>
      </left>
      <right/>
      <top/>
      <bottom/>
      <diagonal/>
    </border>
    <border>
      <left/>
      <right/>
      <top/>
      <bottom style="thin">
        <color indexed="62"/>
      </bottom>
      <diagonal/>
    </border>
    <border>
      <left/>
      <right style="thin">
        <color indexed="62"/>
      </right>
      <top/>
      <bottom style="thin">
        <color indexed="62"/>
      </bottom>
      <diagonal/>
    </border>
    <border>
      <left style="thin">
        <color indexed="62"/>
      </left>
      <right/>
      <top style="thin">
        <color indexed="62"/>
      </top>
      <bottom style="thin">
        <color indexed="62"/>
      </bottom>
      <diagonal/>
    </border>
    <border>
      <left style="thin">
        <color indexed="62"/>
      </left>
      <right/>
      <top/>
      <bottom style="thin">
        <color indexed="62"/>
      </bottom>
      <diagonal/>
    </border>
    <border>
      <left style="thin">
        <color indexed="12"/>
      </left>
      <right style="thin">
        <color indexed="12"/>
      </right>
      <top/>
      <bottom style="thin">
        <color indexed="12"/>
      </bottom>
      <diagonal/>
    </border>
    <border>
      <left style="thin">
        <color indexed="62"/>
      </left>
      <right style="thin">
        <color indexed="62"/>
      </right>
      <top style="thin">
        <color indexed="62"/>
      </top>
      <bottom style="thin">
        <color indexed="62"/>
      </bottom>
      <diagonal/>
    </border>
    <border>
      <left style="thin">
        <color indexed="62"/>
      </left>
      <right style="thin">
        <color indexed="62"/>
      </right>
      <top style="thin">
        <color indexed="62"/>
      </top>
      <bottom/>
      <diagonal/>
    </border>
    <border>
      <left style="dotted">
        <color indexed="64"/>
      </left>
      <right style="dashed">
        <color indexed="64"/>
      </right>
      <top style="dashed">
        <color indexed="64"/>
      </top>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right/>
      <top style="dashed">
        <color indexed="64"/>
      </top>
      <bottom style="medium">
        <color indexed="64"/>
      </bottom>
      <diagonal/>
    </border>
    <border>
      <left style="dotted">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right style="medium">
        <color indexed="64"/>
      </right>
      <top style="medium">
        <color indexed="64"/>
      </top>
      <bottom style="dashed">
        <color indexed="64"/>
      </bottom>
      <diagonal/>
    </border>
    <border>
      <left style="dotted">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diagonal/>
    </border>
    <border>
      <left style="dashed">
        <color indexed="64"/>
      </left>
      <right style="medium">
        <color indexed="64"/>
      </right>
      <top style="medium">
        <color indexed="64"/>
      </top>
      <bottom/>
      <diagonal/>
    </border>
    <border>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30"/>
      </left>
      <right/>
      <top/>
      <bottom style="thin">
        <color indexed="30"/>
      </bottom>
      <diagonal/>
    </border>
    <border>
      <left/>
      <right style="thin">
        <color indexed="30"/>
      </right>
      <top/>
      <bottom style="thin">
        <color indexed="30"/>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thin">
        <color indexed="30"/>
      </left>
      <right/>
      <top/>
      <bottom/>
      <diagonal/>
    </border>
    <border>
      <left/>
      <right style="thin">
        <color indexed="30"/>
      </right>
      <top/>
      <bottom/>
      <diagonal/>
    </border>
    <border>
      <left style="thin">
        <color indexed="19"/>
      </left>
      <right/>
      <top style="thin">
        <color indexed="19"/>
      </top>
      <bottom/>
      <diagonal/>
    </border>
    <border>
      <left/>
      <right/>
      <top style="thin">
        <color indexed="19"/>
      </top>
      <bottom/>
      <diagonal/>
    </border>
    <border>
      <left/>
      <right style="thin">
        <color indexed="19"/>
      </right>
      <top style="thin">
        <color indexed="19"/>
      </top>
      <bottom/>
      <diagonal/>
    </border>
    <border>
      <left style="thin">
        <color indexed="19"/>
      </left>
      <right/>
      <top/>
      <bottom/>
      <diagonal/>
    </border>
    <border>
      <left/>
      <right style="thin">
        <color indexed="19"/>
      </right>
      <top/>
      <bottom/>
      <diagonal/>
    </border>
    <border>
      <left style="thin">
        <color indexed="19"/>
      </left>
      <right/>
      <top/>
      <bottom style="thin">
        <color indexed="19"/>
      </bottom>
      <diagonal/>
    </border>
    <border>
      <left/>
      <right/>
      <top/>
      <bottom style="thin">
        <color indexed="19"/>
      </bottom>
      <diagonal/>
    </border>
    <border>
      <left/>
      <right style="thin">
        <color indexed="19"/>
      </right>
      <top/>
      <bottom style="thin">
        <color indexed="19"/>
      </bottom>
      <diagonal/>
    </border>
    <border>
      <left style="thin">
        <color indexed="19"/>
      </left>
      <right/>
      <top style="thin">
        <color indexed="19"/>
      </top>
      <bottom style="thin">
        <color indexed="19"/>
      </bottom>
      <diagonal/>
    </border>
    <border>
      <left/>
      <right/>
      <top style="thin">
        <color indexed="19"/>
      </top>
      <bottom style="thin">
        <color indexed="19"/>
      </bottom>
      <diagonal/>
    </border>
    <border>
      <left/>
      <right style="thin">
        <color indexed="19"/>
      </right>
      <top style="thin">
        <color indexed="19"/>
      </top>
      <bottom style="thin">
        <color indexed="19"/>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right/>
      <top style="medium">
        <color indexed="64"/>
      </top>
      <bottom style="medium">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medium">
        <color indexed="64"/>
      </top>
      <bottom/>
      <diagonal/>
    </border>
    <border>
      <left/>
      <right/>
      <top/>
      <bottom style="thin">
        <color indexed="8"/>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22"/>
      </top>
      <bottom/>
      <diagonal/>
    </border>
    <border>
      <left style="thin">
        <color indexed="64"/>
      </left>
      <right style="thin">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top style="thin">
        <color indexed="22"/>
      </top>
      <bottom style="thin">
        <color indexed="22"/>
      </bottom>
      <diagonal/>
    </border>
    <border>
      <left/>
      <right style="thin">
        <color indexed="22"/>
      </right>
      <top/>
      <bottom/>
      <diagonal/>
    </border>
    <border>
      <left/>
      <right/>
      <top style="thin">
        <color indexed="22"/>
      </top>
      <bottom/>
      <diagonal/>
    </border>
    <border>
      <left style="medium">
        <color indexed="64"/>
      </left>
      <right/>
      <top style="thin">
        <color indexed="64"/>
      </top>
      <bottom style="thin">
        <color indexed="64"/>
      </bottom>
      <diagonal/>
    </border>
    <border>
      <left/>
      <right style="thin">
        <color indexed="12"/>
      </right>
      <top/>
      <bottom/>
      <diagonal/>
    </border>
    <border>
      <left style="thin">
        <color indexed="12"/>
      </left>
      <right/>
      <top/>
      <bottom/>
      <diagonal/>
    </border>
    <border>
      <left/>
      <right style="medium">
        <color indexed="64"/>
      </right>
      <top style="thin">
        <color indexed="30"/>
      </top>
      <bottom/>
      <diagonal/>
    </border>
    <border>
      <left/>
      <right style="medium">
        <color indexed="64"/>
      </right>
      <top/>
      <bottom style="thin">
        <color indexed="3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30"/>
      </top>
      <bottom style="thin">
        <color indexed="30"/>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2"/>
      </top>
      <bottom/>
      <diagonal/>
    </border>
    <border>
      <left style="medium">
        <color indexed="64"/>
      </left>
      <right/>
      <top style="thin">
        <color indexed="62"/>
      </top>
      <bottom/>
      <diagonal/>
    </border>
    <border>
      <left style="medium">
        <color indexed="64"/>
      </left>
      <right/>
      <top style="thin">
        <color indexed="62"/>
      </top>
      <bottom style="medium">
        <color indexed="64"/>
      </bottom>
      <diagonal/>
    </border>
    <border>
      <left/>
      <right style="medium">
        <color indexed="64"/>
      </right>
      <top/>
      <bottom style="thin">
        <color indexed="62"/>
      </bottom>
      <diagonal/>
    </border>
    <border>
      <left style="thin">
        <color indexed="64"/>
      </left>
      <right/>
      <top/>
      <bottom style="thin">
        <color indexed="62"/>
      </bottom>
      <diagonal/>
    </border>
    <border>
      <left style="thin">
        <color indexed="64"/>
      </left>
      <right/>
      <top style="thin">
        <color indexed="62"/>
      </top>
      <bottom/>
      <diagonal/>
    </border>
    <border>
      <left style="medium">
        <color indexed="64"/>
      </left>
      <right style="thin">
        <color indexed="64"/>
      </right>
      <top style="medium">
        <color indexed="64"/>
      </top>
      <bottom style="thin">
        <color indexed="62"/>
      </bottom>
      <diagonal/>
    </border>
    <border>
      <left/>
      <right style="medium">
        <color indexed="64"/>
      </right>
      <top style="medium">
        <color indexed="64"/>
      </top>
      <bottom style="thin">
        <color indexed="62"/>
      </bottom>
      <diagonal/>
    </border>
    <border>
      <left/>
      <right/>
      <top style="medium">
        <color indexed="64"/>
      </top>
      <bottom style="thin">
        <color indexed="62"/>
      </bottom>
      <diagonal/>
    </border>
    <border>
      <left style="medium">
        <color indexed="64"/>
      </left>
      <right/>
      <top style="medium">
        <color indexed="64"/>
      </top>
      <bottom style="thin">
        <color indexed="62"/>
      </bottom>
      <diagonal/>
    </border>
    <border>
      <left style="thin">
        <color indexed="62"/>
      </left>
      <right style="thin">
        <color indexed="62"/>
      </right>
      <top style="thin">
        <color indexed="62"/>
      </top>
      <bottom style="medium">
        <color indexed="64"/>
      </bottom>
      <diagonal/>
    </border>
    <border>
      <left style="thin">
        <color indexed="62"/>
      </left>
      <right/>
      <top style="thin">
        <color indexed="62"/>
      </top>
      <bottom style="medium">
        <color indexed="64"/>
      </bottom>
      <diagonal/>
    </border>
    <border>
      <left style="thin">
        <color indexed="62"/>
      </left>
      <right/>
      <top style="medium">
        <color indexed="64"/>
      </top>
      <bottom/>
      <diagonal/>
    </border>
    <border>
      <left style="thin">
        <color indexed="62"/>
      </left>
      <right style="medium">
        <color indexed="64"/>
      </right>
      <top style="thin">
        <color indexed="62"/>
      </top>
      <bottom style="medium">
        <color indexed="64"/>
      </bottom>
      <diagonal/>
    </border>
    <border>
      <left/>
      <right/>
      <top style="thin">
        <color indexed="62"/>
      </top>
      <bottom style="medium">
        <color indexed="64"/>
      </bottom>
      <diagonal/>
    </border>
    <border>
      <left style="thin">
        <color indexed="62"/>
      </left>
      <right style="medium">
        <color indexed="64"/>
      </right>
      <top style="thin">
        <color indexed="62"/>
      </top>
      <bottom/>
      <diagonal/>
    </border>
    <border>
      <left style="medium">
        <color indexed="64"/>
      </left>
      <right/>
      <top style="thin">
        <color indexed="62"/>
      </top>
      <bottom style="thin">
        <color indexed="62"/>
      </bottom>
      <diagonal/>
    </border>
    <border>
      <left style="thin">
        <color indexed="62"/>
      </left>
      <right style="medium">
        <color indexed="64"/>
      </right>
      <top/>
      <bottom/>
      <diagonal/>
    </border>
    <border>
      <left style="medium">
        <color indexed="64"/>
      </left>
      <right/>
      <top/>
      <bottom style="thin">
        <color indexed="62"/>
      </bottom>
      <diagonal/>
    </border>
    <border>
      <left style="medium">
        <color indexed="64"/>
      </left>
      <right style="thin">
        <color indexed="64"/>
      </right>
      <top style="medium">
        <color indexed="64"/>
      </top>
      <bottom/>
      <diagonal/>
    </border>
    <border>
      <left style="thin">
        <color indexed="64"/>
      </left>
      <right style="thin">
        <color indexed="64"/>
      </right>
      <top style="thin">
        <color indexed="62"/>
      </top>
      <bottom/>
      <diagonal/>
    </border>
    <border>
      <left style="thin">
        <color indexed="22"/>
      </left>
      <right style="thin">
        <color indexed="22"/>
      </right>
      <top style="thin">
        <color indexed="22"/>
      </top>
      <bottom style="medium">
        <color indexed="64"/>
      </bottom>
      <diagonal/>
    </border>
    <border>
      <left style="thin">
        <color indexed="64"/>
      </left>
      <right style="thin">
        <color indexed="22"/>
      </right>
      <top style="thin">
        <color indexed="22"/>
      </top>
      <bottom style="medium">
        <color indexed="64"/>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thin">
        <color indexed="22"/>
      </right>
      <top style="thin">
        <color indexed="64"/>
      </top>
      <bottom style="thin">
        <color indexed="22"/>
      </bottom>
      <diagonal/>
    </border>
    <border>
      <left/>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right/>
      <top style="thin">
        <color indexed="22"/>
      </top>
      <bottom style="thin">
        <color indexed="64"/>
      </bottom>
      <diagonal/>
    </border>
  </borders>
  <cellStyleXfs count="120">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8" fillId="4"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23" fillId="0" borderId="3"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126"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4" fillId="3" borderId="0" applyNumberFormat="0" applyBorder="0" applyAlignment="0" applyProtection="0"/>
    <xf numFmtId="165" fontId="10" fillId="0" borderId="0" applyFont="0" applyFill="0" applyBorder="0" applyAlignment="0" applyProtection="0"/>
    <xf numFmtId="0" fontId="10" fillId="0" borderId="0"/>
    <xf numFmtId="0" fontId="4" fillId="22" borderId="4" applyNumberFormat="0" applyFont="0" applyAlignment="0" applyProtection="0"/>
    <xf numFmtId="9" fontId="10" fillId="0" borderId="0" applyFont="0" applyFill="0" applyBorder="0" applyAlignment="0" applyProtection="0"/>
    <xf numFmtId="0" fontId="24" fillId="20" borderId="8" applyNumberFormat="0" applyAlignment="0" applyProtection="0"/>
    <xf numFmtId="0" fontId="26" fillId="0" borderId="0" applyNumberFormat="0" applyFill="0" applyBorder="0" applyAlignment="0" applyProtection="0"/>
    <xf numFmtId="0" fontId="17"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5" fillId="0" borderId="0" applyNumberFormat="0" applyFill="0" applyBorder="0" applyAlignment="0" applyProtection="0"/>
    <xf numFmtId="0" fontId="11" fillId="0" borderId="0" applyNumberFormat="0" applyFill="0" applyBorder="0" applyAlignment="0" applyProtection="0">
      <alignment vertical="top"/>
      <protection locked="0"/>
    </xf>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39" fillId="0" borderId="0" applyNumberFormat="0" applyFill="0" applyBorder="0" applyAlignment="0" applyProtection="0"/>
    <xf numFmtId="0" fontId="140" fillId="0" borderId="171" applyNumberFormat="0" applyFill="0" applyAlignment="0" applyProtection="0"/>
    <xf numFmtId="0" fontId="141" fillId="0" borderId="172" applyNumberFormat="0" applyFill="0" applyAlignment="0" applyProtection="0"/>
    <xf numFmtId="0" fontId="142" fillId="0" borderId="173" applyNumberFormat="0" applyFill="0" applyAlignment="0" applyProtection="0"/>
    <xf numFmtId="0" fontId="142" fillId="0" borderId="0" applyNumberFormat="0" applyFill="0" applyBorder="0" applyAlignment="0" applyProtection="0"/>
    <xf numFmtId="0" fontId="143" fillId="41" borderId="0" applyNumberFormat="0" applyBorder="0" applyAlignment="0" applyProtection="0"/>
    <xf numFmtId="0" fontId="144" fillId="40" borderId="0" applyNumberFormat="0" applyBorder="0" applyAlignment="0" applyProtection="0"/>
    <xf numFmtId="0" fontId="145" fillId="42" borderId="0" applyNumberFormat="0" applyBorder="0" applyAlignment="0" applyProtection="0"/>
    <xf numFmtId="0" fontId="146" fillId="39" borderId="167" applyNumberFormat="0" applyAlignment="0" applyProtection="0"/>
    <xf numFmtId="0" fontId="147" fillId="43" borderId="169" applyNumberFormat="0" applyAlignment="0" applyProtection="0"/>
    <xf numFmtId="0" fontId="148" fillId="43" borderId="167" applyNumberFormat="0" applyAlignment="0" applyProtection="0"/>
    <xf numFmtId="0" fontId="149" fillId="0" borderId="168" applyNumberFormat="0" applyFill="0" applyAlignment="0" applyProtection="0"/>
    <xf numFmtId="0" fontId="150" fillId="44" borderId="170" applyNumberFormat="0" applyAlignment="0" applyProtection="0"/>
    <xf numFmtId="0" fontId="151" fillId="0" borderId="0" applyNumberFormat="0" applyFill="0" applyBorder="0" applyAlignment="0" applyProtection="0"/>
    <xf numFmtId="0" fontId="10" fillId="45" borderId="174" applyNumberFormat="0" applyFont="0" applyAlignment="0" applyProtection="0"/>
    <xf numFmtId="0" fontId="152" fillId="0" borderId="0" applyNumberFormat="0" applyFill="0" applyBorder="0" applyAlignment="0" applyProtection="0"/>
    <xf numFmtId="0" fontId="153" fillId="46" borderId="0" applyNumberFormat="0" applyBorder="0" applyAlignment="0" applyProtection="0"/>
    <xf numFmtId="0" fontId="153" fillId="47" borderId="0" applyNumberFormat="0" applyBorder="0" applyAlignment="0" applyProtection="0"/>
    <xf numFmtId="0" fontId="154" fillId="48" borderId="0" applyNumberFormat="0" applyBorder="0" applyAlignment="0" applyProtection="0"/>
    <xf numFmtId="0" fontId="153" fillId="49" borderId="0" applyNumberFormat="0" applyBorder="0" applyAlignment="0" applyProtection="0"/>
    <xf numFmtId="0" fontId="153" fillId="37" borderId="0" applyNumberFormat="0" applyBorder="0" applyAlignment="0" applyProtection="0"/>
    <xf numFmtId="0" fontId="154" fillId="38" borderId="0" applyNumberFormat="0" applyBorder="0" applyAlignment="0" applyProtection="0"/>
    <xf numFmtId="0" fontId="153" fillId="50" borderId="0" applyNumberFormat="0" applyBorder="0" applyAlignment="0" applyProtection="0"/>
    <xf numFmtId="0" fontId="153" fillId="51" borderId="0" applyNumberFormat="0" applyBorder="0" applyAlignment="0" applyProtection="0"/>
    <xf numFmtId="0" fontId="154" fillId="52"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4" fillId="55" borderId="0" applyNumberFormat="0" applyBorder="0" applyAlignment="0" applyProtection="0"/>
    <xf numFmtId="0" fontId="153" fillId="56" borderId="0" applyNumberFormat="0" applyBorder="0" applyAlignment="0" applyProtection="0"/>
    <xf numFmtId="0" fontId="153" fillId="57" borderId="0" applyNumberFormat="0" applyBorder="0" applyAlignment="0" applyProtection="0"/>
    <xf numFmtId="0" fontId="154" fillId="58" borderId="0" applyNumberFormat="0" applyBorder="0" applyAlignment="0" applyProtection="0"/>
    <xf numFmtId="0" fontId="153" fillId="36" borderId="0" applyNumberFormat="0" applyBorder="0" applyAlignment="0" applyProtection="0"/>
    <xf numFmtId="0" fontId="153" fillId="59" borderId="0" applyNumberFormat="0" applyBorder="0" applyAlignment="0" applyProtection="0"/>
    <xf numFmtId="0" fontId="154" fillId="60" borderId="0" applyNumberFormat="0" applyBorder="0" applyAlignment="0" applyProtection="0"/>
    <xf numFmtId="0" fontId="3" fillId="0" borderId="0"/>
    <xf numFmtId="0" fontId="11" fillId="0" borderId="0" applyNumberFormat="0" applyFill="0" applyBorder="0" applyAlignment="0" applyProtection="0">
      <alignment vertical="top"/>
      <protection locked="0"/>
    </xf>
    <xf numFmtId="169" fontId="155" fillId="0" borderId="0" applyFont="0" applyFill="0" applyBorder="0" applyAlignment="0" applyProtection="0"/>
    <xf numFmtId="169" fontId="155" fillId="0" borderId="0" applyFont="0" applyFill="0" applyBorder="0" applyAlignment="0" applyProtection="0"/>
    <xf numFmtId="0" fontId="155" fillId="0" borderId="0"/>
    <xf numFmtId="9" fontId="155"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55" fillId="0" borderId="0"/>
    <xf numFmtId="9"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90" fillId="0" borderId="0"/>
    <xf numFmtId="0" fontId="190" fillId="0" borderId="0"/>
  </cellStyleXfs>
  <cellXfs count="3394">
    <xf numFmtId="0" fontId="0" fillId="0" borderId="0" xfId="0"/>
    <xf numFmtId="0" fontId="0" fillId="23" borderId="0" xfId="0" applyFill="1" applyBorder="1"/>
    <xf numFmtId="0" fontId="0" fillId="0" borderId="0" xfId="0" applyFill="1"/>
    <xf numFmtId="0" fontId="0" fillId="0" borderId="0" xfId="0" applyFill="1" applyBorder="1"/>
    <xf numFmtId="0" fontId="8" fillId="0" borderId="0" xfId="0" applyFont="1" applyFill="1"/>
    <xf numFmtId="2" fontId="0" fillId="23" borderId="0" xfId="0" applyNumberFormat="1" applyFill="1" applyBorder="1"/>
    <xf numFmtId="0" fontId="0" fillId="23" borderId="9" xfId="0" applyFill="1" applyBorder="1"/>
    <xf numFmtId="0" fontId="0" fillId="23" borderId="10" xfId="0" applyFill="1" applyBorder="1"/>
    <xf numFmtId="0" fontId="8" fillId="0" borderId="0" xfId="0" applyFont="1" applyFill="1" applyBorder="1" applyAlignment="1">
      <alignment horizontal="right"/>
    </xf>
    <xf numFmtId="0" fontId="0" fillId="24" borderId="0" xfId="0" applyFill="1" applyBorder="1"/>
    <xf numFmtId="0" fontId="8" fillId="24" borderId="0" xfId="0" applyFont="1" applyFill="1" applyBorder="1"/>
    <xf numFmtId="0" fontId="0" fillId="25" borderId="0" xfId="0" applyFill="1"/>
    <xf numFmtId="0" fontId="7" fillId="24" borderId="9" xfId="0" applyFont="1" applyFill="1" applyBorder="1"/>
    <xf numFmtId="0" fontId="0" fillId="24" borderId="9" xfId="0" applyFill="1" applyBorder="1"/>
    <xf numFmtId="167" fontId="27" fillId="24" borderId="0" xfId="0" applyNumberFormat="1" applyFont="1" applyFill="1" applyBorder="1"/>
    <xf numFmtId="166" fontId="0" fillId="24" borderId="0" xfId="0" applyNumberFormat="1" applyFill="1" applyBorder="1"/>
    <xf numFmtId="166" fontId="27" fillId="24" borderId="0" xfId="0" applyNumberFormat="1" applyFont="1" applyFill="1" applyBorder="1"/>
    <xf numFmtId="0" fontId="27" fillId="24" borderId="0" xfId="0" applyFont="1" applyFill="1" applyBorder="1"/>
    <xf numFmtId="0" fontId="8" fillId="24" borderId="0" xfId="0" applyFont="1" applyFill="1" applyBorder="1" applyAlignment="1">
      <alignment horizontal="right"/>
    </xf>
    <xf numFmtId="0" fontId="8" fillId="24" borderId="0" xfId="0" applyFont="1" applyFill="1" applyBorder="1" applyAlignment="1">
      <alignment horizontal="left"/>
    </xf>
    <xf numFmtId="168" fontId="27" fillId="24" borderId="0" xfId="0" applyNumberFormat="1" applyFont="1" applyFill="1" applyBorder="1"/>
    <xf numFmtId="2" fontId="8" fillId="24" borderId="0" xfId="0" applyNumberFormat="1" applyFont="1" applyFill="1" applyBorder="1" applyAlignment="1">
      <alignment horizontal="center"/>
    </xf>
    <xf numFmtId="0" fontId="0" fillId="25" borderId="0" xfId="0" applyFill="1" applyBorder="1"/>
    <xf numFmtId="0" fontId="0" fillId="24" borderId="0" xfId="0" applyFill="1" applyBorder="1" applyAlignment="1">
      <alignment horizontal="right"/>
    </xf>
    <xf numFmtId="0" fontId="8" fillId="0" borderId="0" xfId="0" applyFont="1" applyFill="1" applyAlignment="1">
      <alignment horizontal="left"/>
    </xf>
    <xf numFmtId="166" fontId="0" fillId="25" borderId="0" xfId="0" applyNumberFormat="1" applyFill="1"/>
    <xf numFmtId="0" fontId="7" fillId="24" borderId="11" xfId="0" applyFont="1" applyFill="1" applyBorder="1"/>
    <xf numFmtId="0" fontId="8" fillId="24" borderId="12" xfId="0" applyFont="1" applyFill="1" applyBorder="1"/>
    <xf numFmtId="0" fontId="0" fillId="24" borderId="12" xfId="0" applyFill="1" applyBorder="1"/>
    <xf numFmtId="0" fontId="0" fillId="24" borderId="0" xfId="0" applyFill="1" applyBorder="1" applyAlignment="1">
      <alignment horizontal="left"/>
    </xf>
    <xf numFmtId="2" fontId="10" fillId="24" borderId="0" xfId="0" applyNumberFormat="1" applyFont="1" applyFill="1" applyBorder="1" applyAlignment="1">
      <alignment horizontal="right"/>
    </xf>
    <xf numFmtId="2" fontId="0" fillId="24" borderId="13" xfId="0" applyNumberFormat="1" applyFill="1" applyBorder="1" applyAlignment="1">
      <alignment horizontal="right"/>
    </xf>
    <xf numFmtId="0" fontId="0" fillId="24" borderId="13" xfId="0" applyFill="1" applyBorder="1" applyAlignment="1">
      <alignment horizontal="right"/>
    </xf>
    <xf numFmtId="2" fontId="8" fillId="24" borderId="13" xfId="0" applyNumberFormat="1" applyFont="1" applyFill="1" applyBorder="1" applyAlignment="1">
      <alignment horizontal="center"/>
    </xf>
    <xf numFmtId="0" fontId="10" fillId="0" borderId="0" xfId="0" applyFont="1" applyFill="1"/>
    <xf numFmtId="0" fontId="7" fillId="0" borderId="0" xfId="0" applyFont="1" applyFill="1"/>
    <xf numFmtId="166" fontId="0" fillId="24" borderId="9" xfId="0" applyNumberFormat="1" applyFill="1" applyBorder="1"/>
    <xf numFmtId="0" fontId="10" fillId="24" borderId="0" xfId="0" applyFont="1" applyFill="1" applyBorder="1"/>
    <xf numFmtId="0" fontId="10" fillId="24" borderId="12" xfId="0" applyFont="1" applyFill="1" applyBorder="1"/>
    <xf numFmtId="0" fontId="10" fillId="24" borderId="12" xfId="0" applyFont="1" applyFill="1" applyBorder="1" applyAlignment="1">
      <alignment horizontal="right"/>
    </xf>
    <xf numFmtId="0" fontId="10" fillId="24" borderId="13" xfId="0" applyFont="1" applyFill="1" applyBorder="1" applyAlignment="1">
      <alignment horizontal="center"/>
    </xf>
    <xf numFmtId="0" fontId="10" fillId="24" borderId="0" xfId="0" applyFont="1" applyFill="1" applyBorder="1" applyAlignment="1">
      <alignment horizontal="right"/>
    </xf>
    <xf numFmtId="0" fontId="8" fillId="25" borderId="0" xfId="0" applyFont="1" applyFill="1" applyAlignment="1">
      <alignment horizontal="right"/>
    </xf>
    <xf numFmtId="0" fontId="32" fillId="25" borderId="0" xfId="0" applyFont="1" applyFill="1" applyAlignment="1">
      <alignment horizontal="right"/>
    </xf>
    <xf numFmtId="0" fontId="32" fillId="25" borderId="0" xfId="0" applyFont="1" applyFill="1" applyAlignment="1">
      <alignment horizontal="left"/>
    </xf>
    <xf numFmtId="0" fontId="8" fillId="25" borderId="0" xfId="0" applyFont="1" applyFill="1" applyBorder="1" applyAlignment="1">
      <alignment horizontal="right"/>
    </xf>
    <xf numFmtId="2" fontId="32" fillId="25" borderId="0" xfId="0" applyNumberFormat="1" applyFont="1" applyFill="1" applyAlignment="1">
      <alignment horizontal="right"/>
    </xf>
    <xf numFmtId="0" fontId="32" fillId="25" borderId="0" xfId="0" applyFont="1" applyFill="1" applyBorder="1" applyAlignment="1">
      <alignment horizontal="right"/>
    </xf>
    <xf numFmtId="0" fontId="0" fillId="25" borderId="0" xfId="0" applyFill="1" applyBorder="1" applyAlignment="1">
      <alignment horizontal="center"/>
    </xf>
    <xf numFmtId="0" fontId="32" fillId="25" borderId="0" xfId="0" applyFont="1" applyFill="1" applyBorder="1" applyAlignment="1">
      <alignment horizontal="center"/>
    </xf>
    <xf numFmtId="0" fontId="8" fillId="25" borderId="0" xfId="0" applyFont="1" applyFill="1" applyBorder="1" applyAlignment="1">
      <alignment horizontal="center"/>
    </xf>
    <xf numFmtId="2" fontId="32" fillId="25" borderId="0" xfId="0" applyNumberFormat="1" applyFont="1" applyFill="1" applyBorder="1" applyAlignment="1">
      <alignment horizontal="center"/>
    </xf>
    <xf numFmtId="0" fontId="8" fillId="25" borderId="0" xfId="0" applyFont="1" applyFill="1" applyBorder="1" applyAlignment="1">
      <alignment horizontal="left"/>
    </xf>
    <xf numFmtId="2" fontId="8" fillId="25" borderId="0" xfId="0" applyNumberFormat="1" applyFont="1" applyFill="1" applyAlignment="1">
      <alignment horizontal="center"/>
    </xf>
    <xf numFmtId="0" fontId="8" fillId="25" borderId="0" xfId="0" applyFont="1" applyFill="1" applyAlignment="1">
      <alignment horizontal="left"/>
    </xf>
    <xf numFmtId="0" fontId="31" fillId="25" borderId="0" xfId="0" applyFont="1" applyFill="1" applyBorder="1" applyAlignment="1">
      <alignment horizontal="center"/>
    </xf>
    <xf numFmtId="0" fontId="30" fillId="25" borderId="0" xfId="0" applyFont="1" applyFill="1" applyBorder="1"/>
    <xf numFmtId="166" fontId="32" fillId="25" borderId="0" xfId="0" applyNumberFormat="1" applyFont="1" applyFill="1" applyBorder="1" applyAlignment="1">
      <alignment horizontal="right"/>
    </xf>
    <xf numFmtId="0" fontId="30" fillId="25" borderId="0" xfId="0" applyFont="1" applyFill="1" applyBorder="1" applyAlignment="1">
      <alignment horizontal="right"/>
    </xf>
    <xf numFmtId="0" fontId="0" fillId="25" borderId="0" xfId="0" applyFill="1" applyBorder="1" applyAlignment="1">
      <alignment horizontal="right"/>
    </xf>
    <xf numFmtId="2" fontId="8" fillId="25" borderId="0" xfId="0" applyNumberFormat="1" applyFont="1" applyFill="1" applyBorder="1" applyAlignment="1">
      <alignment horizontal="center"/>
    </xf>
    <xf numFmtId="1" fontId="32" fillId="25" borderId="0" xfId="0" applyNumberFormat="1" applyFont="1" applyFill="1" applyBorder="1"/>
    <xf numFmtId="166" fontId="31" fillId="25" borderId="0" xfId="0" applyNumberFormat="1" applyFont="1" applyFill="1" applyBorder="1"/>
    <xf numFmtId="0" fontId="0" fillId="23" borderId="0" xfId="0" applyFill="1" applyBorder="1" applyAlignment="1">
      <alignment horizontal="right"/>
    </xf>
    <xf numFmtId="167" fontId="0" fillId="23" borderId="0" xfId="0" applyNumberFormat="1" applyFill="1" applyBorder="1"/>
    <xf numFmtId="0" fontId="10" fillId="25" borderId="0" xfId="0" applyFont="1" applyFill="1" applyBorder="1" applyAlignment="1">
      <alignment vertical="top"/>
    </xf>
    <xf numFmtId="2" fontId="8" fillId="25" borderId="0" xfId="0" applyNumberFormat="1" applyFont="1" applyFill="1" applyAlignment="1">
      <alignment horizontal="right"/>
    </xf>
    <xf numFmtId="2" fontId="32" fillId="25" borderId="0" xfId="0" applyNumberFormat="1" applyFont="1" applyFill="1" applyAlignment="1">
      <alignment horizontal="center"/>
    </xf>
    <xf numFmtId="0" fontId="0" fillId="0" borderId="0" xfId="0" quotePrefix="1" applyFill="1" applyAlignment="1">
      <alignment horizontal="right"/>
    </xf>
    <xf numFmtId="0" fontId="37" fillId="0" borderId="0" xfId="0" applyFont="1" applyFill="1" applyAlignment="1">
      <alignment horizontal="right"/>
    </xf>
    <xf numFmtId="2" fontId="0" fillId="24" borderId="0" xfId="0" applyNumberFormat="1" applyFill="1" applyBorder="1"/>
    <xf numFmtId="167" fontId="0" fillId="24" borderId="0" xfId="0" applyNumberFormat="1" applyFill="1" applyBorder="1"/>
    <xf numFmtId="0" fontId="8" fillId="24" borderId="9" xfId="0" applyFont="1" applyFill="1" applyBorder="1"/>
    <xf numFmtId="0" fontId="0" fillId="24" borderId="10" xfId="0" applyFill="1" applyBorder="1" applyAlignment="1">
      <alignment horizontal="right"/>
    </xf>
    <xf numFmtId="0" fontId="10" fillId="24" borderId="13" xfId="0" applyFont="1" applyFill="1" applyBorder="1" applyAlignment="1">
      <alignment horizontal="right"/>
    </xf>
    <xf numFmtId="0" fontId="0" fillId="24" borderId="13" xfId="0" applyFill="1" applyBorder="1"/>
    <xf numFmtId="0" fontId="8" fillId="24" borderId="9" xfId="0" applyFont="1" applyFill="1" applyBorder="1" applyAlignment="1">
      <alignment horizontal="right"/>
    </xf>
    <xf numFmtId="173" fontId="0" fillId="24" borderId="0" xfId="0" applyNumberFormat="1" applyFill="1" applyBorder="1"/>
    <xf numFmtId="0" fontId="4" fillId="24" borderId="9" xfId="0" applyFont="1" applyFill="1" applyBorder="1"/>
    <xf numFmtId="0" fontId="4" fillId="24" borderId="0" xfId="0" applyFont="1" applyFill="1" applyBorder="1"/>
    <xf numFmtId="2" fontId="27" fillId="24" borderId="0" xfId="0" applyNumberFormat="1" applyFont="1" applyFill="1" applyBorder="1"/>
    <xf numFmtId="2" fontId="0" fillId="24" borderId="13" xfId="0" applyNumberFormat="1" applyFill="1" applyBorder="1"/>
    <xf numFmtId="2" fontId="8" fillId="24" borderId="0" xfId="0" applyNumberFormat="1" applyFont="1" applyFill="1" applyBorder="1"/>
    <xf numFmtId="0" fontId="0" fillId="24" borderId="0" xfId="0" quotePrefix="1" applyFill="1" applyBorder="1"/>
    <xf numFmtId="171" fontId="0" fillId="24" borderId="0" xfId="0" applyNumberFormat="1" applyFill="1" applyBorder="1"/>
    <xf numFmtId="2" fontId="10" fillId="24" borderId="13" xfId="0" applyNumberFormat="1" applyFont="1" applyFill="1" applyBorder="1" applyAlignment="1">
      <alignment horizontal="right"/>
    </xf>
    <xf numFmtId="0" fontId="29" fillId="24" borderId="9" xfId="0" applyFont="1" applyFill="1" applyBorder="1"/>
    <xf numFmtId="0" fontId="10" fillId="24" borderId="0" xfId="0" applyFont="1" applyFill="1" applyBorder="1" applyAlignment="1">
      <alignment horizontal="left"/>
    </xf>
    <xf numFmtId="166" fontId="8" fillId="24" borderId="0" xfId="0" applyNumberFormat="1" applyFont="1" applyFill="1" applyBorder="1"/>
    <xf numFmtId="0" fontId="0" fillId="24" borderId="10" xfId="0" applyFill="1" applyBorder="1"/>
    <xf numFmtId="172" fontId="8" fillId="24" borderId="0" xfId="0" applyNumberFormat="1" applyFont="1" applyFill="1" applyBorder="1"/>
    <xf numFmtId="0" fontId="0" fillId="26" borderId="0" xfId="0" applyFill="1" applyBorder="1"/>
    <xf numFmtId="0" fontId="8" fillId="26" borderId="0" xfId="0" applyFont="1" applyFill="1" applyBorder="1" applyAlignment="1">
      <alignment horizontal="left"/>
    </xf>
    <xf numFmtId="2" fontId="10" fillId="24" borderId="0" xfId="0" applyNumberFormat="1" applyFont="1" applyFill="1" applyBorder="1" applyAlignment="1">
      <alignment horizontal="center"/>
    </xf>
    <xf numFmtId="169" fontId="10" fillId="24" borderId="0" xfId="0" applyNumberFormat="1" applyFont="1" applyFill="1" applyBorder="1" applyAlignment="1">
      <alignment horizontal="center"/>
    </xf>
    <xf numFmtId="9" fontId="10" fillId="24" borderId="0" xfId="0" applyNumberFormat="1" applyFont="1" applyFill="1" applyBorder="1" applyAlignment="1">
      <alignment horizontal="center"/>
    </xf>
    <xf numFmtId="0" fontId="8" fillId="24" borderId="11" xfId="0" applyFont="1" applyFill="1" applyBorder="1" applyAlignment="1">
      <alignment horizontal="left"/>
    </xf>
    <xf numFmtId="167" fontId="10" fillId="24" borderId="9" xfId="69" applyNumberFormat="1" applyFont="1" applyFill="1" applyBorder="1"/>
    <xf numFmtId="167" fontId="0" fillId="24" borderId="9" xfId="0" applyNumberFormat="1" applyFill="1" applyBorder="1" applyAlignment="1">
      <alignment horizontal="right"/>
    </xf>
    <xf numFmtId="167" fontId="0" fillId="24" borderId="9" xfId="0" applyNumberFormat="1" applyFill="1" applyBorder="1"/>
    <xf numFmtId="168" fontId="10" fillId="24" borderId="9" xfId="0" applyNumberFormat="1" applyFont="1" applyFill="1" applyBorder="1"/>
    <xf numFmtId="0" fontId="39" fillId="0" borderId="0" xfId="0" applyFont="1"/>
    <xf numFmtId="0" fontId="40" fillId="0" borderId="0" xfId="0" applyFont="1"/>
    <xf numFmtId="0" fontId="39" fillId="0" borderId="0" xfId="0" applyFont="1" applyFill="1"/>
    <xf numFmtId="0" fontId="39" fillId="27" borderId="0" xfId="0" applyFont="1" applyFill="1"/>
    <xf numFmtId="2" fontId="8" fillId="24" borderId="0" xfId="0" applyNumberFormat="1" applyFont="1" applyFill="1" applyBorder="1" applyAlignment="1">
      <alignment horizontal="right"/>
    </xf>
    <xf numFmtId="2" fontId="8" fillId="24" borderId="13" xfId="0" applyNumberFormat="1" applyFont="1" applyFill="1" applyBorder="1" applyAlignment="1">
      <alignment horizontal="right"/>
    </xf>
    <xf numFmtId="0" fontId="36" fillId="25" borderId="0" xfId="0" applyFont="1" applyFill="1" applyBorder="1" applyAlignment="1">
      <alignment vertical="center"/>
    </xf>
    <xf numFmtId="0" fontId="0" fillId="25" borderId="0" xfId="0" applyFill="1" applyBorder="1" applyAlignment="1"/>
    <xf numFmtId="168" fontId="4" fillId="24" borderId="9" xfId="0" applyNumberFormat="1" applyFont="1" applyFill="1" applyBorder="1"/>
    <xf numFmtId="170" fontId="0" fillId="24" borderId="9" xfId="0" applyNumberFormat="1" applyFill="1" applyBorder="1"/>
    <xf numFmtId="168" fontId="0" fillId="24" borderId="9" xfId="0" applyNumberFormat="1" applyFill="1" applyBorder="1"/>
    <xf numFmtId="2" fontId="8" fillId="24" borderId="16" xfId="0" applyNumberFormat="1" applyFont="1" applyFill="1" applyBorder="1"/>
    <xf numFmtId="0" fontId="0" fillId="0" borderId="0" xfId="0" applyBorder="1"/>
    <xf numFmtId="2" fontId="10" fillId="24" borderId="13" xfId="0" applyNumberFormat="1" applyFont="1" applyFill="1" applyBorder="1"/>
    <xf numFmtId="166" fontId="0" fillId="24" borderId="13" xfId="0" applyNumberFormat="1" applyFill="1" applyBorder="1"/>
    <xf numFmtId="0" fontId="8" fillId="25" borderId="0" xfId="0" applyFont="1" applyFill="1" applyAlignment="1">
      <alignment horizontal="center"/>
    </xf>
    <xf numFmtId="0" fontId="8" fillId="26" borderId="17" xfId="0" applyFont="1" applyFill="1" applyBorder="1"/>
    <xf numFmtId="0" fontId="0" fillId="26" borderId="18" xfId="0" applyFill="1" applyBorder="1"/>
    <xf numFmtId="0" fontId="0" fillId="26" borderId="19" xfId="0" applyFill="1" applyBorder="1"/>
    <xf numFmtId="0" fontId="8" fillId="26" borderId="0" xfId="0" applyFont="1" applyFill="1" applyBorder="1" applyAlignment="1">
      <alignment horizontal="center"/>
    </xf>
    <xf numFmtId="2" fontId="10" fillId="25" borderId="0" xfId="0" applyNumberFormat="1" applyFont="1" applyFill="1" applyBorder="1"/>
    <xf numFmtId="2" fontId="8" fillId="25" borderId="0" xfId="0" applyNumberFormat="1" applyFont="1" applyFill="1" applyBorder="1"/>
    <xf numFmtId="2" fontId="30" fillId="24" borderId="13" xfId="0" applyNumberFormat="1" applyFont="1" applyFill="1" applyBorder="1" applyAlignment="1">
      <alignment horizontal="center"/>
    </xf>
    <xf numFmtId="166" fontId="8" fillId="25" borderId="0" xfId="0" applyNumberFormat="1" applyFont="1" applyFill="1" applyBorder="1"/>
    <xf numFmtId="0" fontId="0" fillId="24" borderId="0" xfId="0" applyFill="1"/>
    <xf numFmtId="0" fontId="8" fillId="24" borderId="15" xfId="0" applyFont="1" applyFill="1" applyBorder="1" applyAlignment="1">
      <alignment horizontal="center"/>
    </xf>
    <xf numFmtId="169" fontId="4" fillId="23" borderId="9" xfId="68" quotePrefix="1" applyNumberFormat="1" applyFont="1" applyFill="1" applyBorder="1"/>
    <xf numFmtId="169" fontId="4" fillId="23" borderId="10" xfId="68" quotePrefix="1" applyNumberFormat="1" applyFont="1" applyFill="1" applyBorder="1"/>
    <xf numFmtId="169" fontId="4" fillId="23" borderId="20" xfId="68" applyNumberFormat="1" applyFont="1" applyFill="1" applyBorder="1" applyAlignment="1">
      <alignment horizontal="right"/>
    </xf>
    <xf numFmtId="169" fontId="4" fillId="23" borderId="22" xfId="68" quotePrefix="1" applyNumberFormat="1" applyFont="1" applyFill="1" applyBorder="1"/>
    <xf numFmtId="169" fontId="4" fillId="23" borderId="9" xfId="68" applyNumberFormat="1" applyFont="1" applyFill="1" applyBorder="1" applyAlignment="1">
      <alignment horizontal="right"/>
    </xf>
    <xf numFmtId="2" fontId="8" fillId="23" borderId="0" xfId="0" applyNumberFormat="1" applyFont="1" applyFill="1" applyBorder="1"/>
    <xf numFmtId="175" fontId="0" fillId="23" borderId="0" xfId="0" applyNumberFormat="1" applyFill="1" applyBorder="1"/>
    <xf numFmtId="0" fontId="29" fillId="28" borderId="15" xfId="0" applyFont="1" applyFill="1" applyBorder="1" applyAlignment="1">
      <alignment horizontal="center"/>
    </xf>
    <xf numFmtId="0" fontId="29" fillId="29" borderId="0" xfId="0" applyFont="1" applyFill="1" applyBorder="1" applyAlignment="1">
      <alignment horizontal="center"/>
    </xf>
    <xf numFmtId="2" fontId="32" fillId="29" borderId="0" xfId="0" applyNumberFormat="1" applyFont="1" applyFill="1" applyBorder="1" applyAlignment="1">
      <alignment horizontal="center"/>
    </xf>
    <xf numFmtId="0" fontId="0" fillId="29" borderId="0" xfId="0" applyFill="1" applyBorder="1"/>
    <xf numFmtId="166" fontId="32" fillId="29" borderId="13" xfId="0" applyNumberFormat="1" applyFont="1" applyFill="1" applyBorder="1" applyAlignment="1">
      <alignment horizontal="center"/>
    </xf>
    <xf numFmtId="0" fontId="32" fillId="29" borderId="13" xfId="0" applyFont="1" applyFill="1" applyBorder="1" applyAlignment="1">
      <alignment horizontal="center"/>
    </xf>
    <xf numFmtId="0" fontId="0" fillId="30" borderId="9" xfId="0" applyFill="1" applyBorder="1"/>
    <xf numFmtId="0" fontId="0" fillId="30" borderId="0" xfId="0" applyFill="1" applyBorder="1"/>
    <xf numFmtId="0" fontId="0" fillId="30" borderId="10" xfId="0" applyFill="1" applyBorder="1"/>
    <xf numFmtId="0" fontId="0" fillId="29" borderId="9" xfId="0" applyFill="1" applyBorder="1"/>
    <xf numFmtId="0" fontId="0" fillId="29" borderId="10" xfId="0" applyFill="1" applyBorder="1"/>
    <xf numFmtId="0" fontId="30" fillId="29" borderId="0" xfId="0" applyFont="1" applyFill="1" applyBorder="1"/>
    <xf numFmtId="0" fontId="31" fillId="29" borderId="0" xfId="0" applyFont="1" applyFill="1" applyBorder="1"/>
    <xf numFmtId="0" fontId="29" fillId="29" borderId="9" xfId="0" applyFont="1" applyFill="1" applyBorder="1"/>
    <xf numFmtId="166" fontId="32" fillId="29" borderId="0" xfId="0" applyNumberFormat="1" applyFont="1" applyFill="1" applyBorder="1" applyAlignment="1">
      <alignment horizontal="center"/>
    </xf>
    <xf numFmtId="169" fontId="30" fillId="29" borderId="0" xfId="0" applyNumberFormat="1" applyFont="1" applyFill="1" applyBorder="1" applyAlignment="1">
      <alignment horizontal="center"/>
    </xf>
    <xf numFmtId="9" fontId="30" fillId="29" borderId="0" xfId="0" applyNumberFormat="1" applyFont="1" applyFill="1" applyBorder="1" applyAlignment="1">
      <alignment horizontal="center"/>
    </xf>
    <xf numFmtId="0" fontId="34" fillId="29" borderId="13" xfId="0" applyFont="1" applyFill="1" applyBorder="1" applyAlignment="1">
      <alignment horizontal="center"/>
    </xf>
    <xf numFmtId="166" fontId="56" fillId="31" borderId="21" xfId="0" applyNumberFormat="1" applyFont="1" applyFill="1" applyBorder="1" applyAlignment="1">
      <alignment horizontal="center"/>
    </xf>
    <xf numFmtId="0" fontId="57" fillId="31" borderId="21" xfId="0" applyFont="1" applyFill="1" applyBorder="1"/>
    <xf numFmtId="166" fontId="56" fillId="31" borderId="16" xfId="0" applyNumberFormat="1" applyFont="1" applyFill="1" applyBorder="1" applyAlignment="1">
      <alignment horizontal="center"/>
    </xf>
    <xf numFmtId="1" fontId="56" fillId="31" borderId="16" xfId="0" applyNumberFormat="1" applyFont="1" applyFill="1" applyBorder="1" applyAlignment="1">
      <alignment horizontal="center"/>
    </xf>
    <xf numFmtId="1" fontId="32" fillId="0" borderId="0" xfId="0" applyNumberFormat="1" applyFont="1" applyFill="1" applyBorder="1"/>
    <xf numFmtId="166" fontId="56" fillId="25" borderId="0" xfId="0" applyNumberFormat="1" applyFont="1" applyFill="1" applyBorder="1" applyAlignment="1">
      <alignment horizontal="center"/>
    </xf>
    <xf numFmtId="0" fontId="29" fillId="28" borderId="25" xfId="0" applyFont="1" applyFill="1" applyBorder="1"/>
    <xf numFmtId="0" fontId="30" fillId="28" borderId="23" xfId="0" applyFont="1" applyFill="1" applyBorder="1"/>
    <xf numFmtId="0" fontId="0" fillId="28" borderId="23" xfId="0" applyFill="1" applyBorder="1"/>
    <xf numFmtId="0" fontId="0" fillId="29" borderId="20" xfId="0" applyFill="1" applyBorder="1"/>
    <xf numFmtId="0" fontId="0" fillId="29" borderId="21" xfId="0" applyFill="1" applyBorder="1"/>
    <xf numFmtId="0" fontId="32" fillId="29" borderId="21" xfId="0" applyFont="1" applyFill="1" applyBorder="1" applyAlignment="1">
      <alignment horizontal="right"/>
    </xf>
    <xf numFmtId="0" fontId="32" fillId="29" borderId="21" xfId="0" applyFont="1" applyFill="1" applyBorder="1" applyAlignment="1">
      <alignment horizontal="left"/>
    </xf>
    <xf numFmtId="0" fontId="8" fillId="29" borderId="21" xfId="0" applyFont="1" applyFill="1" applyBorder="1" applyAlignment="1">
      <alignment horizontal="center"/>
    </xf>
    <xf numFmtId="2" fontId="32" fillId="29" borderId="22" xfId="0" applyNumberFormat="1" applyFont="1" applyFill="1" applyBorder="1" applyAlignment="1">
      <alignment horizontal="right"/>
    </xf>
    <xf numFmtId="0" fontId="8" fillId="29" borderId="21" xfId="0" applyFont="1" applyFill="1" applyBorder="1" applyAlignment="1">
      <alignment horizontal="right"/>
    </xf>
    <xf numFmtId="0" fontId="29" fillId="28" borderId="11" xfId="0" applyFont="1" applyFill="1" applyBorder="1"/>
    <xf numFmtId="0" fontId="0" fillId="28" borderId="12" xfId="0" applyFill="1" applyBorder="1"/>
    <xf numFmtId="0" fontId="29" fillId="28" borderId="12" xfId="0" applyFont="1" applyFill="1" applyBorder="1"/>
    <xf numFmtId="0" fontId="32" fillId="28" borderId="12" xfId="0" applyFont="1" applyFill="1" applyBorder="1" applyAlignment="1">
      <alignment horizontal="left"/>
    </xf>
    <xf numFmtId="0" fontId="30" fillId="28" borderId="12" xfId="0" applyFont="1" applyFill="1" applyBorder="1"/>
    <xf numFmtId="166" fontId="30" fillId="28" borderId="12" xfId="0" applyNumberFormat="1" applyFont="1" applyFill="1" applyBorder="1"/>
    <xf numFmtId="2" fontId="32" fillId="28" borderId="14" xfId="0" applyNumberFormat="1" applyFont="1" applyFill="1" applyBorder="1" applyAlignment="1">
      <alignment horizontal="right"/>
    </xf>
    <xf numFmtId="0" fontId="29" fillId="28" borderId="9" xfId="0" applyFont="1" applyFill="1" applyBorder="1"/>
    <xf numFmtId="0" fontId="0" fillId="28" borderId="0" xfId="0" applyFill="1" applyBorder="1"/>
    <xf numFmtId="0" fontId="30" fillId="28" borderId="0" xfId="0" applyFont="1" applyFill="1" applyBorder="1"/>
    <xf numFmtId="0" fontId="30" fillId="28" borderId="10" xfId="0" applyFont="1" applyFill="1" applyBorder="1"/>
    <xf numFmtId="0" fontId="0" fillId="28" borderId="14" xfId="0" applyFill="1" applyBorder="1"/>
    <xf numFmtId="2" fontId="8" fillId="28" borderId="12" xfId="0" applyNumberFormat="1" applyFont="1" applyFill="1" applyBorder="1" applyAlignment="1">
      <alignment horizontal="center"/>
    </xf>
    <xf numFmtId="0" fontId="8" fillId="28" borderId="12" xfId="0" applyFont="1" applyFill="1" applyBorder="1" applyAlignment="1">
      <alignment horizontal="left"/>
    </xf>
    <xf numFmtId="0" fontId="0" fillId="28" borderId="11" xfId="0" applyFill="1" applyBorder="1"/>
    <xf numFmtId="0" fontId="8" fillId="28" borderId="14" xfId="0" applyFont="1" applyFill="1" applyBorder="1" applyAlignment="1">
      <alignment horizontal="right"/>
    </xf>
    <xf numFmtId="0" fontId="30" fillId="29" borderId="21" xfId="0" applyFont="1" applyFill="1" applyBorder="1"/>
    <xf numFmtId="0" fontId="32" fillId="29" borderId="0" xfId="0" applyFont="1" applyFill="1" applyBorder="1" applyAlignment="1">
      <alignment horizontal="left"/>
    </xf>
    <xf numFmtId="0" fontId="32" fillId="29" borderId="0" xfId="0" applyFont="1" applyFill="1" applyBorder="1" applyAlignment="1">
      <alignment horizontal="right"/>
    </xf>
    <xf numFmtId="2" fontId="32" fillId="29" borderId="10" xfId="0" quotePrefix="1" applyNumberFormat="1" applyFont="1" applyFill="1" applyBorder="1" applyAlignment="1">
      <alignment horizontal="right"/>
    </xf>
    <xf numFmtId="0" fontId="8" fillId="29" borderId="9" xfId="0" applyFont="1" applyFill="1" applyBorder="1" applyAlignment="1">
      <alignment horizontal="right"/>
    </xf>
    <xf numFmtId="2" fontId="8" fillId="29" borderId="0" xfId="0" applyNumberFormat="1" applyFont="1" applyFill="1" applyBorder="1" applyAlignment="1">
      <alignment horizontal="center"/>
    </xf>
    <xf numFmtId="0" fontId="8" fillId="29" borderId="0" xfId="0" applyFont="1" applyFill="1" applyBorder="1" applyAlignment="1">
      <alignment horizontal="left"/>
    </xf>
    <xf numFmtId="2" fontId="32" fillId="29" borderId="10" xfId="0" applyNumberFormat="1" applyFont="1" applyFill="1" applyBorder="1"/>
    <xf numFmtId="0" fontId="10" fillId="29" borderId="0" xfId="0" applyFont="1" applyFill="1" applyBorder="1"/>
    <xf numFmtId="0" fontId="32" fillId="29" borderId="21" xfId="0" applyFont="1" applyFill="1" applyBorder="1"/>
    <xf numFmtId="0" fontId="34" fillId="29" borderId="21" xfId="0" applyFont="1" applyFill="1" applyBorder="1"/>
    <xf numFmtId="0" fontId="58" fillId="29" borderId="9" xfId="0" applyFont="1" applyFill="1" applyBorder="1"/>
    <xf numFmtId="0" fontId="58" fillId="29" borderId="0" xfId="0" applyFont="1" applyFill="1" applyBorder="1"/>
    <xf numFmtId="0" fontId="59" fillId="29" borderId="0" xfId="0" applyFont="1" applyFill="1" applyBorder="1" applyAlignment="1">
      <alignment horizontal="left"/>
    </xf>
    <xf numFmtId="0" fontId="59" fillId="29" borderId="9" xfId="0" applyFont="1" applyFill="1" applyBorder="1" applyAlignment="1">
      <alignment horizontal="right"/>
    </xf>
    <xf numFmtId="2" fontId="59" fillId="29" borderId="0" xfId="0" applyNumberFormat="1" applyFont="1" applyFill="1" applyBorder="1" applyAlignment="1">
      <alignment horizontal="center"/>
    </xf>
    <xf numFmtId="0" fontId="58" fillId="29" borderId="20" xfId="0" applyFont="1" applyFill="1" applyBorder="1"/>
    <xf numFmtId="0" fontId="58" fillId="29" borderId="21" xfId="0" applyFont="1" applyFill="1" applyBorder="1"/>
    <xf numFmtId="168" fontId="59" fillId="0" borderId="0" xfId="0" applyNumberFormat="1" applyFont="1" applyFill="1" applyBorder="1"/>
    <xf numFmtId="0" fontId="38" fillId="29" borderId="0" xfId="0" applyFont="1" applyFill="1" applyBorder="1" applyAlignment="1">
      <alignment horizontal="right"/>
    </xf>
    <xf numFmtId="0" fontId="34" fillId="29" borderId="0" xfId="0" applyFont="1" applyFill="1" applyBorder="1"/>
    <xf numFmtId="2" fontId="38" fillId="29" borderId="10" xfId="0" quotePrefix="1" applyNumberFormat="1" applyFont="1" applyFill="1" applyBorder="1" applyAlignment="1">
      <alignment horizontal="right"/>
    </xf>
    <xf numFmtId="2" fontId="38" fillId="29" borderId="10" xfId="0" applyNumberFormat="1" applyFont="1" applyFill="1" applyBorder="1"/>
    <xf numFmtId="0" fontId="34" fillId="29" borderId="10" xfId="0" applyFont="1" applyFill="1" applyBorder="1"/>
    <xf numFmtId="2" fontId="56" fillId="25" borderId="0" xfId="0" applyNumberFormat="1" applyFont="1" applyFill="1" applyBorder="1" applyAlignment="1">
      <alignment horizontal="center"/>
    </xf>
    <xf numFmtId="0" fontId="61" fillId="29" borderId="21" xfId="0" applyFont="1" applyFill="1" applyBorder="1"/>
    <xf numFmtId="0" fontId="60" fillId="24" borderId="0" xfId="0" applyFont="1" applyFill="1" applyBorder="1"/>
    <xf numFmtId="0" fontId="60" fillId="29" borderId="21" xfId="0" applyFont="1" applyFill="1" applyBorder="1"/>
    <xf numFmtId="1" fontId="32" fillId="29" borderId="13" xfId="0" applyNumberFormat="1" applyFont="1" applyFill="1" applyBorder="1" applyAlignment="1">
      <alignment horizontal="center"/>
    </xf>
    <xf numFmtId="0" fontId="62" fillId="28" borderId="0" xfId="0" applyFont="1" applyFill="1" applyBorder="1" applyAlignment="1">
      <alignment horizontal="center"/>
    </xf>
    <xf numFmtId="0" fontId="62" fillId="28" borderId="13" xfId="0" applyFont="1" applyFill="1" applyBorder="1" applyAlignment="1">
      <alignment horizontal="center"/>
    </xf>
    <xf numFmtId="0" fontId="39" fillId="0" borderId="0" xfId="0" applyFont="1" applyBorder="1"/>
    <xf numFmtId="0" fontId="39" fillId="0" borderId="26" xfId="0" applyFont="1" applyBorder="1"/>
    <xf numFmtId="0" fontId="43" fillId="0" borderId="26" xfId="0" applyFont="1" applyFill="1" applyBorder="1" applyAlignment="1">
      <alignment horizontal="center"/>
    </xf>
    <xf numFmtId="2" fontId="39" fillId="32" borderId="26" xfId="0" applyNumberFormat="1" applyFont="1" applyFill="1" applyBorder="1" applyAlignment="1">
      <alignment horizontal="center"/>
    </xf>
    <xf numFmtId="0" fontId="65" fillId="0" borderId="0" xfId="0" applyFont="1"/>
    <xf numFmtId="0" fontId="39" fillId="0" borderId="27" xfId="0" applyFont="1" applyBorder="1"/>
    <xf numFmtId="0" fontId="39" fillId="0" borderId="28" xfId="0" applyFont="1" applyBorder="1"/>
    <xf numFmtId="0" fontId="65" fillId="28" borderId="21" xfId="0" applyFont="1" applyFill="1" applyBorder="1" applyAlignment="1">
      <alignment horizontal="center"/>
    </xf>
    <xf numFmtId="0" fontId="62" fillId="28" borderId="10" xfId="0" applyFont="1" applyFill="1" applyBorder="1" applyAlignment="1">
      <alignment horizontal="center"/>
    </xf>
    <xf numFmtId="0" fontId="65" fillId="28" borderId="16" xfId="0" applyFont="1" applyFill="1" applyBorder="1" applyAlignment="1">
      <alignment horizontal="center"/>
    </xf>
    <xf numFmtId="0" fontId="62" fillId="28" borderId="29" xfId="0" applyFont="1" applyFill="1" applyBorder="1" applyAlignment="1">
      <alignment horizontal="center"/>
    </xf>
    <xf numFmtId="0" fontId="65" fillId="28" borderId="30" xfId="0" applyFont="1" applyFill="1" applyBorder="1" applyAlignment="1">
      <alignment horizontal="center"/>
    </xf>
    <xf numFmtId="0" fontId="39" fillId="0" borderId="31" xfId="0" applyFont="1" applyBorder="1"/>
    <xf numFmtId="0" fontId="39" fillId="0" borderId="32" xfId="0" applyFont="1" applyBorder="1"/>
    <xf numFmtId="2" fontId="39" fillId="32" borderId="27" xfId="0" applyNumberFormat="1" applyFont="1" applyFill="1" applyBorder="1" applyAlignment="1">
      <alignment horizontal="center"/>
    </xf>
    <xf numFmtId="0" fontId="39" fillId="0" borderId="33" xfId="0" applyFont="1" applyBorder="1"/>
    <xf numFmtId="0" fontId="39" fillId="0" borderId="18" xfId="0" applyFont="1" applyBorder="1"/>
    <xf numFmtId="0" fontId="65" fillId="28" borderId="34" xfId="0" applyFont="1" applyFill="1" applyBorder="1" applyAlignment="1">
      <alignment horizontal="center"/>
    </xf>
    <xf numFmtId="0" fontId="39" fillId="0" borderId="29" xfId="0" applyFont="1" applyBorder="1"/>
    <xf numFmtId="0" fontId="62" fillId="28" borderId="35" xfId="0" applyFont="1" applyFill="1" applyBorder="1" applyAlignment="1">
      <alignment horizontal="center"/>
    </xf>
    <xf numFmtId="0" fontId="65" fillId="28" borderId="29" xfId="0" applyFont="1" applyFill="1" applyBorder="1" applyAlignment="1">
      <alignment horizontal="right"/>
    </xf>
    <xf numFmtId="0" fontId="65" fillId="28" borderId="21" xfId="0" applyFont="1" applyFill="1" applyBorder="1" applyAlignment="1">
      <alignment horizontal="right"/>
    </xf>
    <xf numFmtId="0" fontId="62" fillId="28" borderId="0" xfId="0" applyFont="1" applyFill="1" applyBorder="1"/>
    <xf numFmtId="0" fontId="64" fillId="28" borderId="21" xfId="0" applyFont="1" applyFill="1" applyBorder="1"/>
    <xf numFmtId="0" fontId="63" fillId="28" borderId="18" xfId="0" applyFont="1" applyFill="1" applyBorder="1"/>
    <xf numFmtId="0" fontId="63" fillId="28" borderId="36" xfId="0" applyFont="1" applyFill="1" applyBorder="1"/>
    <xf numFmtId="0" fontId="62" fillId="28" borderId="18" xfId="0" applyFont="1" applyFill="1" applyBorder="1" applyAlignment="1">
      <alignment horizontal="center"/>
    </xf>
    <xf numFmtId="0" fontId="62" fillId="28" borderId="37" xfId="0" applyFont="1" applyFill="1" applyBorder="1" applyAlignment="1">
      <alignment horizontal="center"/>
    </xf>
    <xf numFmtId="0" fontId="62" fillId="28" borderId="38" xfId="0" applyFont="1" applyFill="1" applyBorder="1" applyAlignment="1">
      <alignment horizontal="center"/>
    </xf>
    <xf numFmtId="0" fontId="62" fillId="28" borderId="39" xfId="0" applyFont="1" applyFill="1" applyBorder="1" applyAlignment="1">
      <alignment horizontal="center"/>
    </xf>
    <xf numFmtId="0" fontId="63" fillId="28" borderId="40" xfId="0" applyFont="1" applyFill="1" applyBorder="1"/>
    <xf numFmtId="0" fontId="65" fillId="28" borderId="41" xfId="0" applyFont="1" applyFill="1" applyBorder="1" applyAlignment="1">
      <alignment horizontal="center"/>
    </xf>
    <xf numFmtId="0" fontId="65" fillId="28" borderId="35" xfId="0" applyFont="1" applyFill="1" applyBorder="1"/>
    <xf numFmtId="0" fontId="63" fillId="28" borderId="29" xfId="0" applyFont="1" applyFill="1" applyBorder="1" applyAlignment="1">
      <alignment horizontal="right"/>
    </xf>
    <xf numFmtId="0" fontId="65" fillId="28" borderId="30" xfId="0" applyFont="1" applyFill="1" applyBorder="1" applyAlignment="1">
      <alignment horizontal="right"/>
    </xf>
    <xf numFmtId="0" fontId="44" fillId="0" borderId="0" xfId="0" applyFont="1" applyBorder="1"/>
    <xf numFmtId="0" fontId="67" fillId="28" borderId="19" xfId="0" applyFont="1" applyFill="1" applyBorder="1"/>
    <xf numFmtId="0" fontId="64" fillId="28" borderId="19" xfId="0" applyFont="1" applyFill="1" applyBorder="1"/>
    <xf numFmtId="0" fontId="65" fillId="28" borderId="29" xfId="0" applyFont="1" applyFill="1" applyBorder="1"/>
    <xf numFmtId="0" fontId="43" fillId="0" borderId="42" xfId="0" applyFont="1" applyBorder="1"/>
    <xf numFmtId="0" fontId="40" fillId="0" borderId="43" xfId="0" applyFont="1" applyBorder="1"/>
    <xf numFmtId="0" fontId="39" fillId="0" borderId="44" xfId="0" applyFont="1" applyBorder="1"/>
    <xf numFmtId="0" fontId="39" fillId="0" borderId="45" xfId="0" applyFont="1" applyBorder="1"/>
    <xf numFmtId="0" fontId="43" fillId="0" borderId="44" xfId="0" applyFont="1" applyFill="1" applyBorder="1" applyAlignment="1">
      <alignment horizontal="center"/>
    </xf>
    <xf numFmtId="0" fontId="43" fillId="0" borderId="45" xfId="0" applyFont="1" applyFill="1" applyBorder="1" applyAlignment="1">
      <alignment horizontal="center"/>
    </xf>
    <xf numFmtId="0" fontId="39" fillId="0" borderId="46" xfId="0" applyFont="1" applyBorder="1"/>
    <xf numFmtId="0" fontId="39" fillId="0" borderId="47" xfId="0" applyFont="1" applyBorder="1"/>
    <xf numFmtId="0" fontId="39" fillId="0" borderId="48" xfId="0" applyFont="1" applyBorder="1"/>
    <xf numFmtId="2" fontId="39" fillId="0" borderId="47" xfId="0" applyNumberFormat="1" applyFont="1" applyFill="1" applyBorder="1" applyAlignment="1">
      <alignment horizontal="center"/>
    </xf>
    <xf numFmtId="0" fontId="43" fillId="0" borderId="47" xfId="0" applyFont="1" applyFill="1" applyBorder="1" applyAlignment="1">
      <alignment horizontal="center"/>
    </xf>
    <xf numFmtId="0" fontId="39" fillId="0" borderId="49" xfId="0" applyFont="1" applyBorder="1"/>
    <xf numFmtId="0" fontId="39" fillId="0" borderId="50" xfId="0" applyFont="1" applyBorder="1"/>
    <xf numFmtId="0" fontId="39" fillId="32" borderId="47" xfId="0" applyFont="1" applyFill="1" applyBorder="1" applyAlignment="1">
      <alignment horizontal="center"/>
    </xf>
    <xf numFmtId="0" fontId="43" fillId="0" borderId="46" xfId="0" applyFont="1" applyFill="1" applyBorder="1" applyAlignment="1">
      <alignment horizontal="center"/>
    </xf>
    <xf numFmtId="0" fontId="43" fillId="0" borderId="50" xfId="0" applyFont="1" applyBorder="1" applyAlignment="1">
      <alignment horizontal="left" wrapText="1"/>
    </xf>
    <xf numFmtId="0" fontId="39" fillId="0" borderId="51" xfId="0" applyFont="1" applyBorder="1"/>
    <xf numFmtId="0" fontId="39" fillId="0" borderId="52" xfId="0" applyFont="1" applyBorder="1"/>
    <xf numFmtId="0" fontId="65" fillId="28" borderId="53" xfId="0" applyFont="1" applyFill="1" applyBorder="1" applyAlignment="1">
      <alignment horizontal="center"/>
    </xf>
    <xf numFmtId="0" fontId="65" fillId="28" borderId="54" xfId="0" applyFont="1" applyFill="1" applyBorder="1" applyAlignment="1">
      <alignment horizontal="center"/>
    </xf>
    <xf numFmtId="0" fontId="63" fillId="28" borderId="55" xfId="0" applyFont="1" applyFill="1" applyBorder="1"/>
    <xf numFmtId="0" fontId="67" fillId="0" borderId="56" xfId="0" applyFont="1" applyBorder="1"/>
    <xf numFmtId="0" fontId="0" fillId="0" borderId="0" xfId="0" applyAlignment="1">
      <alignment horizontal="left" wrapText="1"/>
    </xf>
    <xf numFmtId="0" fontId="0" fillId="25" borderId="0" xfId="0" applyFill="1" applyAlignment="1">
      <alignment horizontal="left" wrapText="1"/>
    </xf>
    <xf numFmtId="0" fontId="72" fillId="0" borderId="0" xfId="0" applyFont="1" applyAlignment="1">
      <alignment horizontal="left" wrapText="1"/>
    </xf>
    <xf numFmtId="0" fontId="66" fillId="28" borderId="35" xfId="0" applyFont="1" applyFill="1" applyBorder="1" applyAlignment="1">
      <alignment horizontal="left" wrapText="1"/>
    </xf>
    <xf numFmtId="0" fontId="10" fillId="25" borderId="0" xfId="0" applyFont="1" applyFill="1" applyAlignment="1">
      <alignment vertical="top" wrapText="1"/>
    </xf>
    <xf numFmtId="0" fontId="29" fillId="28" borderId="23" xfId="0" applyFont="1" applyFill="1" applyBorder="1" applyAlignment="1">
      <alignment horizontal="right" wrapText="1"/>
    </xf>
    <xf numFmtId="0" fontId="31" fillId="28" borderId="0" xfId="0" applyFont="1" applyFill="1" applyBorder="1" applyAlignment="1">
      <alignment horizontal="left" vertical="center"/>
    </xf>
    <xf numFmtId="0" fontId="31" fillId="28" borderId="0" xfId="0" applyFont="1" applyFill="1" applyBorder="1" applyAlignment="1">
      <alignment horizontal="center" vertical="center"/>
    </xf>
    <xf numFmtId="0" fontId="31" fillId="28" borderId="0" xfId="0" applyFont="1" applyFill="1" applyBorder="1" applyAlignment="1">
      <alignment vertical="center"/>
    </xf>
    <xf numFmtId="0" fontId="30" fillId="28" borderId="0" xfId="0" applyFont="1" applyFill="1" applyBorder="1" applyAlignment="1">
      <alignment vertical="center"/>
    </xf>
    <xf numFmtId="0" fontId="32" fillId="28" borderId="0" xfId="0" applyFont="1" applyFill="1" applyBorder="1" applyAlignment="1">
      <alignment horizontal="right" vertical="center"/>
    </xf>
    <xf numFmtId="0" fontId="0" fillId="28" borderId="0" xfId="0" applyFill="1" applyBorder="1" applyAlignment="1">
      <alignment vertical="center"/>
    </xf>
    <xf numFmtId="0" fontId="0" fillId="0" borderId="0" xfId="0" applyFill="1" applyAlignment="1">
      <alignment horizontal="left" wrapText="1"/>
    </xf>
    <xf numFmtId="0" fontId="47" fillId="0" borderId="0" xfId="0" applyFont="1" applyFill="1" applyAlignment="1"/>
    <xf numFmtId="0" fontId="47" fillId="0" borderId="0" xfId="0" applyFont="1" applyFill="1" applyAlignment="1">
      <alignment wrapText="1"/>
    </xf>
    <xf numFmtId="0" fontId="11" fillId="0" borderId="0" xfId="66" applyFill="1" applyAlignment="1" applyProtection="1">
      <alignment horizontal="left" wrapText="1"/>
    </xf>
    <xf numFmtId="0" fontId="55" fillId="0" borderId="0" xfId="0" applyFont="1" applyFill="1" applyAlignment="1">
      <alignment horizontal="left" wrapText="1" indent="2"/>
    </xf>
    <xf numFmtId="0" fontId="55" fillId="0" borderId="0" xfId="0" applyFont="1" applyFill="1" applyAlignment="1">
      <alignment horizontal="left" wrapText="1" indent="4"/>
    </xf>
    <xf numFmtId="0" fontId="10" fillId="0" borderId="0" xfId="0" applyFont="1" applyFill="1" applyAlignment="1">
      <alignment horizontal="left" wrapText="1"/>
    </xf>
    <xf numFmtId="0" fontId="39" fillId="24" borderId="57" xfId="0" applyFont="1" applyFill="1" applyBorder="1" applyAlignment="1">
      <alignment horizontal="center"/>
    </xf>
    <xf numFmtId="0" fontId="39" fillId="24" borderId="58" xfId="0" applyFont="1" applyFill="1" applyBorder="1" applyAlignment="1">
      <alignment horizontal="center"/>
    </xf>
    <xf numFmtId="0" fontId="39" fillId="24" borderId="59" xfId="0" applyFont="1" applyFill="1" applyBorder="1" applyAlignment="1">
      <alignment horizontal="center"/>
    </xf>
    <xf numFmtId="0" fontId="43" fillId="24" borderId="60" xfId="0" applyFont="1" applyFill="1" applyBorder="1" applyAlignment="1">
      <alignment horizontal="center"/>
    </xf>
    <xf numFmtId="0" fontId="43" fillId="24" borderId="61" xfId="0" applyFont="1" applyFill="1" applyBorder="1" applyAlignment="1">
      <alignment horizontal="center"/>
    </xf>
    <xf numFmtId="0" fontId="43" fillId="24" borderId="62" xfId="0" applyFont="1" applyFill="1" applyBorder="1" applyAlignment="1">
      <alignment horizontal="center"/>
    </xf>
    <xf numFmtId="168" fontId="39" fillId="24" borderId="35" xfId="0" applyNumberFormat="1" applyFont="1" applyFill="1" applyBorder="1" applyAlignment="1">
      <alignment horizontal="left"/>
    </xf>
    <xf numFmtId="0" fontId="39" fillId="24" borderId="29" xfId="0" applyFont="1" applyFill="1" applyBorder="1"/>
    <xf numFmtId="0" fontId="39" fillId="32" borderId="26" xfId="0" applyFont="1" applyFill="1" applyBorder="1" applyAlignment="1">
      <alignment horizontal="center"/>
    </xf>
    <xf numFmtId="0" fontId="43" fillId="32" borderId="47" xfId="0" applyFont="1" applyFill="1" applyBorder="1" applyAlignment="1">
      <alignment horizontal="center"/>
    </xf>
    <xf numFmtId="168" fontId="39" fillId="32" borderId="50" xfId="0" applyNumberFormat="1" applyFont="1" applyFill="1" applyBorder="1" applyAlignment="1">
      <alignment horizontal="left"/>
    </xf>
    <xf numFmtId="0" fontId="40" fillId="32" borderId="42" xfId="0" applyFont="1" applyFill="1" applyBorder="1"/>
    <xf numFmtId="2" fontId="39" fillId="32" borderId="47" xfId="0" applyNumberFormat="1" applyFont="1" applyFill="1" applyBorder="1" applyAlignment="1">
      <alignment horizontal="center"/>
    </xf>
    <xf numFmtId="0" fontId="39" fillId="32" borderId="50" xfId="0" applyFont="1" applyFill="1" applyBorder="1"/>
    <xf numFmtId="0" fontId="39" fillId="0" borderId="63" xfId="0" applyFont="1" applyFill="1" applyBorder="1"/>
    <xf numFmtId="0" fontId="0" fillId="25" borderId="0" xfId="0" applyFill="1" applyAlignment="1">
      <alignment vertical="center" wrapText="1"/>
    </xf>
    <xf numFmtId="0" fontId="0" fillId="25" borderId="0" xfId="0" applyFill="1" applyAlignment="1">
      <alignment horizontal="left" vertical="center" wrapText="1"/>
    </xf>
    <xf numFmtId="0" fontId="0" fillId="0" borderId="0" xfId="0" applyAlignment="1">
      <alignment horizontal="left" vertical="center" wrapText="1"/>
    </xf>
    <xf numFmtId="0" fontId="0" fillId="25" borderId="0" xfId="0" applyFill="1" applyAlignment="1">
      <alignment horizontal="left" vertical="center" wrapText="1" indent="2"/>
    </xf>
    <xf numFmtId="0" fontId="0" fillId="0" borderId="0" xfId="0" applyFill="1" applyAlignment="1">
      <alignment horizontal="left" wrapText="1" indent="2"/>
    </xf>
    <xf numFmtId="0" fontId="0" fillId="0" borderId="0" xfId="0" applyAlignment="1">
      <alignment horizontal="left" wrapText="1" indent="2"/>
    </xf>
    <xf numFmtId="164" fontId="0" fillId="25" borderId="0" xfId="67" applyFont="1" applyFill="1" applyAlignment="1">
      <alignment horizontal="left" wrapText="1"/>
    </xf>
    <xf numFmtId="0" fontId="39" fillId="0" borderId="62" xfId="0" applyFont="1" applyFill="1" applyBorder="1"/>
    <xf numFmtId="0" fontId="39" fillId="0" borderId="60" xfId="0" applyFont="1" applyBorder="1"/>
    <xf numFmtId="0" fontId="39" fillId="0" borderId="61" xfId="0" applyFont="1" applyBorder="1"/>
    <xf numFmtId="0" fontId="39" fillId="0" borderId="64" xfId="0" applyFont="1" applyBorder="1"/>
    <xf numFmtId="0" fontId="39" fillId="0" borderId="65" xfId="0" applyFont="1" applyBorder="1"/>
    <xf numFmtId="0" fontId="39" fillId="0" borderId="66" xfId="0" applyFont="1" applyBorder="1"/>
    <xf numFmtId="0" fontId="43" fillId="0" borderId="35" xfId="0" applyFont="1" applyBorder="1" applyAlignment="1">
      <alignment horizontal="left" wrapText="1"/>
    </xf>
    <xf numFmtId="0" fontId="39" fillId="0" borderId="35" xfId="0" applyFont="1" applyBorder="1"/>
    <xf numFmtId="166" fontId="39" fillId="0" borderId="62" xfId="0" applyNumberFormat="1" applyFont="1" applyBorder="1" applyAlignment="1">
      <alignment horizontal="center"/>
    </xf>
    <xf numFmtId="0" fontId="39" fillId="0" borderId="61" xfId="0" applyFont="1" applyBorder="1" applyAlignment="1">
      <alignment horizontal="center"/>
    </xf>
    <xf numFmtId="0" fontId="39" fillId="0" borderId="62" xfId="0" applyFont="1" applyBorder="1" applyAlignment="1">
      <alignment horizontal="center"/>
    </xf>
    <xf numFmtId="2" fontId="39" fillId="0" borderId="62" xfId="0" applyNumberFormat="1" applyFont="1" applyBorder="1" applyAlignment="1">
      <alignment horizontal="center"/>
    </xf>
    <xf numFmtId="0" fontId="39" fillId="0" borderId="60" xfId="0" applyFont="1" applyBorder="1" applyAlignment="1">
      <alignment horizontal="center"/>
    </xf>
    <xf numFmtId="170" fontId="39" fillId="0" borderId="61" xfId="0" applyNumberFormat="1" applyFont="1" applyFill="1" applyBorder="1"/>
    <xf numFmtId="170" fontId="39" fillId="0" borderId="61" xfId="0" applyNumberFormat="1" applyFont="1" applyFill="1" applyBorder="1" applyAlignment="1">
      <alignment horizontal="center"/>
    </xf>
    <xf numFmtId="0" fontId="43" fillId="0" borderId="62" xfId="0" applyFont="1" applyFill="1" applyBorder="1" applyAlignment="1">
      <alignment horizontal="center"/>
    </xf>
    <xf numFmtId="0" fontId="39" fillId="0" borderId="62" xfId="0" applyFont="1" applyFill="1" applyBorder="1" applyAlignment="1">
      <alignment horizontal="center"/>
    </xf>
    <xf numFmtId="2" fontId="39" fillId="0" borderId="57" xfId="0" applyNumberFormat="1" applyFont="1" applyBorder="1"/>
    <xf numFmtId="0" fontId="39" fillId="0" borderId="62" xfId="0" applyFont="1" applyBorder="1"/>
    <xf numFmtId="2" fontId="39" fillId="0" borderId="62" xfId="0" applyNumberFormat="1" applyFont="1" applyBorder="1"/>
    <xf numFmtId="2" fontId="39" fillId="0" borderId="60" xfId="0" applyNumberFormat="1" applyFont="1" applyBorder="1"/>
    <xf numFmtId="0" fontId="39" fillId="0" borderId="35" xfId="0" applyFont="1" applyFill="1" applyBorder="1"/>
    <xf numFmtId="0" fontId="39" fillId="0" borderId="35" xfId="0" applyFont="1" applyBorder="1" applyAlignment="1"/>
    <xf numFmtId="166" fontId="39" fillId="25" borderId="62" xfId="0" applyNumberFormat="1" applyFont="1" applyFill="1" applyBorder="1" applyAlignment="1">
      <alignment horizontal="center"/>
    </xf>
    <xf numFmtId="0" fontId="39" fillId="0" borderId="67" xfId="0" applyFont="1" applyBorder="1" applyAlignment="1">
      <alignment horizontal="center"/>
    </xf>
    <xf numFmtId="0" fontId="39" fillId="0" borderId="68" xfId="0" applyFont="1" applyBorder="1" applyAlignment="1">
      <alignment horizontal="center"/>
    </xf>
    <xf numFmtId="0" fontId="39" fillId="0" borderId="69" xfId="0" applyFont="1" applyBorder="1" applyAlignment="1">
      <alignment horizontal="center"/>
    </xf>
    <xf numFmtId="0" fontId="39" fillId="0" borderId="70" xfId="0" applyFont="1" applyBorder="1" applyAlignment="1">
      <alignment horizontal="center"/>
    </xf>
    <xf numFmtId="0" fontId="39" fillId="0" borderId="71" xfId="0" applyFont="1" applyBorder="1" applyAlignment="1">
      <alignment horizontal="center"/>
    </xf>
    <xf numFmtId="168" fontId="39" fillId="0" borderId="72" xfId="0" applyNumberFormat="1" applyFont="1" applyFill="1" applyBorder="1" applyAlignment="1">
      <alignment horizontal="center"/>
    </xf>
    <xf numFmtId="168" fontId="39" fillId="0" borderId="71" xfId="0" applyNumberFormat="1" applyFont="1" applyFill="1" applyBorder="1" applyAlignment="1">
      <alignment horizontal="center"/>
    </xf>
    <xf numFmtId="168" fontId="39" fillId="0" borderId="35" xfId="0" applyNumberFormat="1" applyFont="1" applyFill="1" applyBorder="1" applyAlignment="1">
      <alignment horizontal="left"/>
    </xf>
    <xf numFmtId="0" fontId="39" fillId="0" borderId="73" xfId="0" applyFont="1" applyBorder="1" applyAlignment="1">
      <alignment horizontal="center"/>
    </xf>
    <xf numFmtId="0" fontId="39" fillId="0" borderId="73" xfId="0" applyFont="1" applyBorder="1"/>
    <xf numFmtId="168" fontId="39" fillId="0" borderId="74" xfId="0" applyNumberFormat="1" applyFont="1" applyFill="1" applyBorder="1" applyAlignment="1">
      <alignment horizontal="center"/>
    </xf>
    <xf numFmtId="168" fontId="39" fillId="0" borderId="73" xfId="0" applyNumberFormat="1" applyFont="1" applyFill="1" applyBorder="1" applyAlignment="1">
      <alignment horizontal="center"/>
    </xf>
    <xf numFmtId="0" fontId="43" fillId="23" borderId="66" xfId="0" applyFont="1" applyFill="1" applyBorder="1" applyAlignment="1">
      <alignment horizontal="center"/>
    </xf>
    <xf numFmtId="0" fontId="43" fillId="23" borderId="64" xfId="0" applyFont="1" applyFill="1" applyBorder="1" applyAlignment="1">
      <alignment horizontal="center"/>
    </xf>
    <xf numFmtId="0" fontId="39" fillId="33" borderId="47" xfId="0" applyFont="1" applyFill="1" applyBorder="1" applyAlignment="1">
      <alignment horizontal="center"/>
    </xf>
    <xf numFmtId="166" fontId="39" fillId="33" borderId="60" xfId="0" applyNumberFormat="1" applyFont="1" applyFill="1" applyBorder="1" applyAlignment="1">
      <alignment horizontal="center"/>
    </xf>
    <xf numFmtId="2" fontId="39" fillId="33" borderId="61" xfId="0" applyNumberFormat="1" applyFont="1" applyFill="1" applyBorder="1" applyAlignment="1">
      <alignment horizontal="center"/>
    </xf>
    <xf numFmtId="170" fontId="39" fillId="33" borderId="61" xfId="0" applyNumberFormat="1" applyFont="1" applyFill="1" applyBorder="1" applyAlignment="1">
      <alignment horizontal="center"/>
    </xf>
    <xf numFmtId="2" fontId="39" fillId="33" borderId="60" xfId="0" applyNumberFormat="1" applyFont="1" applyFill="1" applyBorder="1" applyAlignment="1">
      <alignment horizontal="center"/>
    </xf>
    <xf numFmtId="0" fontId="43" fillId="23" borderId="65" xfId="0" applyFont="1" applyFill="1" applyBorder="1" applyAlignment="1">
      <alignment horizontal="center"/>
    </xf>
    <xf numFmtId="0" fontId="43" fillId="23" borderId="60" xfId="0" applyFont="1" applyFill="1" applyBorder="1" applyAlignment="1">
      <alignment horizontal="center"/>
    </xf>
    <xf numFmtId="0" fontId="43" fillId="23" borderId="61" xfId="0" applyFont="1" applyFill="1" applyBorder="1" applyAlignment="1">
      <alignment horizontal="center"/>
    </xf>
    <xf numFmtId="0" fontId="43" fillId="23" borderId="62" xfId="0" applyFont="1" applyFill="1" applyBorder="1" applyAlignment="1">
      <alignment horizontal="center"/>
    </xf>
    <xf numFmtId="2" fontId="39" fillId="0" borderId="62" xfId="0" applyNumberFormat="1" applyFont="1" applyFill="1" applyBorder="1" applyAlignment="1">
      <alignment horizontal="center"/>
    </xf>
    <xf numFmtId="0" fontId="39" fillId="23" borderId="60" xfId="0" applyFont="1" applyFill="1" applyBorder="1" applyAlignment="1">
      <alignment horizontal="center"/>
    </xf>
    <xf numFmtId="0" fontId="39" fillId="23" borderId="61" xfId="0" applyFont="1" applyFill="1" applyBorder="1" applyAlignment="1">
      <alignment horizontal="center"/>
    </xf>
    <xf numFmtId="0" fontId="39" fillId="23" borderId="62" xfId="0" applyFont="1" applyFill="1" applyBorder="1" applyAlignment="1">
      <alignment horizontal="center"/>
    </xf>
    <xf numFmtId="0" fontId="39" fillId="33" borderId="61" xfId="0" applyFont="1" applyFill="1" applyBorder="1" applyAlignment="1">
      <alignment horizontal="center"/>
    </xf>
    <xf numFmtId="168" fontId="39" fillId="33" borderId="61" xfId="0" applyNumberFormat="1" applyFont="1" applyFill="1" applyBorder="1" applyAlignment="1">
      <alignment horizontal="center"/>
    </xf>
    <xf numFmtId="0" fontId="43" fillId="23" borderId="74" xfId="0" applyFont="1" applyFill="1" applyBorder="1" applyAlignment="1">
      <alignment horizontal="center"/>
    </xf>
    <xf numFmtId="0" fontId="43" fillId="23" borderId="73" xfId="0" applyFont="1" applyFill="1" applyBorder="1" applyAlignment="1">
      <alignment horizontal="center"/>
    </xf>
    <xf numFmtId="0" fontId="43" fillId="23" borderId="75" xfId="0" applyFont="1" applyFill="1" applyBorder="1" applyAlignment="1">
      <alignment horizontal="center"/>
    </xf>
    <xf numFmtId="0" fontId="43" fillId="23" borderId="76" xfId="0" applyFont="1" applyFill="1" applyBorder="1" applyAlignment="1">
      <alignment horizontal="center"/>
    </xf>
    <xf numFmtId="166" fontId="39" fillId="33" borderId="62" xfId="0" applyNumberFormat="1" applyFont="1" applyFill="1" applyBorder="1" applyAlignment="1">
      <alignment horizontal="center"/>
    </xf>
    <xf numFmtId="0" fontId="39" fillId="33" borderId="62" xfId="0" applyFont="1" applyFill="1" applyBorder="1" applyAlignment="1">
      <alignment horizontal="center"/>
    </xf>
    <xf numFmtId="0" fontId="39" fillId="33" borderId="62" xfId="0" quotePrefix="1" applyFont="1" applyFill="1" applyBorder="1" applyAlignment="1">
      <alignment horizontal="center"/>
    </xf>
    <xf numFmtId="0" fontId="50" fillId="25" borderId="0" xfId="0" applyFont="1" applyFill="1" applyAlignment="1">
      <alignment vertical="center" wrapText="1"/>
    </xf>
    <xf numFmtId="2" fontId="10" fillId="25" borderId="0" xfId="0" applyNumberFormat="1" applyFont="1" applyFill="1" applyBorder="1" applyAlignment="1">
      <alignment horizontal="right"/>
    </xf>
    <xf numFmtId="2" fontId="10" fillId="25" borderId="0" xfId="0" applyNumberFormat="1" applyFont="1" applyFill="1" applyBorder="1" applyAlignment="1">
      <alignment horizontal="right" vertical="center"/>
    </xf>
    <xf numFmtId="1" fontId="34" fillId="25" borderId="0" xfId="0" applyNumberFormat="1" applyFont="1" applyFill="1" applyBorder="1" applyAlignment="1">
      <alignment horizontal="center"/>
    </xf>
    <xf numFmtId="0" fontId="0" fillId="26" borderId="36" xfId="0" applyFill="1" applyBorder="1"/>
    <xf numFmtId="0" fontId="0" fillId="26" borderId="29" xfId="0" applyFill="1" applyBorder="1"/>
    <xf numFmtId="0" fontId="8" fillId="26" borderId="29" xfId="0" applyFont="1" applyFill="1" applyBorder="1" applyAlignment="1">
      <alignment horizontal="center"/>
    </xf>
    <xf numFmtId="0" fontId="8" fillId="26" borderId="29" xfId="0" applyFont="1" applyFill="1" applyBorder="1" applyAlignment="1">
      <alignment horizontal="left"/>
    </xf>
    <xf numFmtId="0" fontId="49" fillId="26" borderId="77" xfId="0" applyFont="1" applyFill="1" applyBorder="1"/>
    <xf numFmtId="0" fontId="0" fillId="26" borderId="78" xfId="0" applyFill="1" applyBorder="1"/>
    <xf numFmtId="0" fontId="8" fillId="26" borderId="78" xfId="0" applyFont="1" applyFill="1" applyBorder="1" applyAlignment="1">
      <alignment horizontal="left"/>
    </xf>
    <xf numFmtId="0" fontId="8" fillId="26" borderId="79" xfId="0" applyFont="1" applyFill="1" applyBorder="1" applyAlignment="1">
      <alignment horizontal="left"/>
    </xf>
    <xf numFmtId="166" fontId="4" fillId="23" borderId="9" xfId="68" quotePrefix="1" applyNumberFormat="1" applyFont="1" applyFill="1" applyBorder="1" applyAlignment="1">
      <alignment horizontal="right"/>
    </xf>
    <xf numFmtId="0" fontId="4" fillId="23" borderId="22" xfId="0" applyFont="1" applyFill="1" applyBorder="1"/>
    <xf numFmtId="166" fontId="34" fillId="25" borderId="0" xfId="0" applyNumberFormat="1" applyFont="1" applyFill="1" applyBorder="1" applyAlignment="1">
      <alignment horizontal="center"/>
    </xf>
    <xf numFmtId="9" fontId="8" fillId="23" borderId="20" xfId="68" quotePrefix="1" applyNumberFormat="1" applyFont="1" applyFill="1" applyBorder="1"/>
    <xf numFmtId="0" fontId="0" fillId="25" borderId="0" xfId="0" applyFill="1" applyAlignment="1">
      <alignment vertical="top" wrapText="1"/>
    </xf>
    <xf numFmtId="0" fontId="63" fillId="28" borderId="0" xfId="0" applyFont="1" applyFill="1" applyBorder="1"/>
    <xf numFmtId="0" fontId="62" fillId="28" borderId="80" xfId="0" applyFont="1" applyFill="1" applyBorder="1"/>
    <xf numFmtId="0" fontId="39" fillId="25" borderId="62" xfId="0" applyFont="1" applyFill="1" applyBorder="1"/>
    <xf numFmtId="0" fontId="39" fillId="0" borderId="58" xfId="0" applyFont="1" applyFill="1" applyBorder="1"/>
    <xf numFmtId="0" fontId="39" fillId="0" borderId="58" xfId="0" applyFont="1" applyBorder="1"/>
    <xf numFmtId="0" fontId="69" fillId="28" borderId="40" xfId="0" applyFont="1" applyFill="1" applyBorder="1" applyAlignment="1">
      <alignment horizontal="left"/>
    </xf>
    <xf numFmtId="0" fontId="46" fillId="32" borderId="50" xfId="0" applyFont="1" applyFill="1" applyBorder="1" applyAlignment="1"/>
    <xf numFmtId="0" fontId="39" fillId="0" borderId="50" xfId="0" applyFont="1" applyFill="1" applyBorder="1"/>
    <xf numFmtId="0" fontId="43" fillId="0" borderId="81" xfId="0" applyFont="1" applyFill="1" applyBorder="1" applyAlignment="1">
      <alignment horizontal="center"/>
    </xf>
    <xf numFmtId="0" fontId="43" fillId="23" borderId="81" xfId="0" applyFont="1" applyFill="1" applyBorder="1" applyAlignment="1">
      <alignment horizontal="center"/>
    </xf>
    <xf numFmtId="0" fontId="43" fillId="0" borderId="82" xfId="0" applyFont="1" applyBorder="1"/>
    <xf numFmtId="0" fontId="41" fillId="0" borderId="83" xfId="0" applyFont="1" applyBorder="1"/>
    <xf numFmtId="0" fontId="40" fillId="0" borderId="82" xfId="0" applyFont="1" applyBorder="1"/>
    <xf numFmtId="0" fontId="40" fillId="0" borderId="84" xfId="0" applyFont="1" applyBorder="1"/>
    <xf numFmtId="0" fontId="43" fillId="0" borderId="84" xfId="0" applyFont="1" applyBorder="1"/>
    <xf numFmtId="0" fontId="43" fillId="0" borderId="85" xfId="0" applyFont="1" applyBorder="1" applyAlignment="1"/>
    <xf numFmtId="0" fontId="74" fillId="0" borderId="0" xfId="0" applyFont="1" applyBorder="1"/>
    <xf numFmtId="0" fontId="74" fillId="0" borderId="0" xfId="0" applyFont="1"/>
    <xf numFmtId="0" fontId="36" fillId="0" borderId="0" xfId="0" applyFont="1" applyBorder="1" applyAlignment="1">
      <alignment horizontal="center"/>
    </xf>
    <xf numFmtId="0" fontId="75" fillId="0" borderId="0" xfId="66" applyFont="1" applyBorder="1" applyAlignment="1" applyProtection="1">
      <alignment horizontal="left" vertical="top" wrapText="1"/>
    </xf>
    <xf numFmtId="0" fontId="75" fillId="0" borderId="0" xfId="66" applyFont="1" applyBorder="1" applyAlignment="1" applyProtection="1"/>
    <xf numFmtId="167" fontId="59" fillId="25" borderId="4" xfId="69" applyNumberFormat="1" applyFont="1" applyFill="1" applyBorder="1"/>
    <xf numFmtId="169" fontId="59" fillId="25" borderId="4" xfId="0" applyNumberFormat="1" applyFont="1" applyFill="1" applyBorder="1"/>
    <xf numFmtId="167" fontId="59" fillId="25" borderId="4" xfId="0" applyNumberFormat="1" applyFont="1" applyFill="1" applyBorder="1"/>
    <xf numFmtId="166" fontId="59" fillId="25" borderId="4" xfId="0" applyNumberFormat="1" applyFont="1" applyFill="1" applyBorder="1"/>
    <xf numFmtId="2" fontId="59" fillId="25" borderId="4" xfId="0" applyNumberFormat="1" applyFont="1" applyFill="1" applyBorder="1"/>
    <xf numFmtId="168" fontId="59" fillId="25" borderId="4" xfId="0" applyNumberFormat="1" applyFont="1" applyFill="1" applyBorder="1"/>
    <xf numFmtId="0" fontId="59" fillId="25" borderId="4" xfId="0" applyFont="1" applyFill="1" applyBorder="1"/>
    <xf numFmtId="0" fontId="59" fillId="25" borderId="4" xfId="0" applyFont="1" applyFill="1" applyBorder="1" applyAlignment="1">
      <alignment horizontal="right"/>
    </xf>
    <xf numFmtId="168" fontId="60" fillId="25" borderId="4" xfId="0" applyNumberFormat="1" applyFont="1" applyFill="1" applyBorder="1"/>
    <xf numFmtId="0" fontId="60" fillId="25" borderId="4" xfId="0" applyFont="1" applyFill="1" applyBorder="1"/>
    <xf numFmtId="0" fontId="60" fillId="25" borderId="4" xfId="0" applyFont="1" applyFill="1" applyBorder="1" applyAlignment="1">
      <alignment horizontal="right"/>
    </xf>
    <xf numFmtId="1" fontId="59" fillId="25" borderId="4" xfId="0" applyNumberFormat="1" applyFont="1" applyFill="1" applyBorder="1"/>
    <xf numFmtId="167" fontId="60" fillId="25" borderId="4" xfId="69" applyNumberFormat="1" applyFont="1" applyFill="1" applyBorder="1"/>
    <xf numFmtId="169" fontId="60" fillId="25" borderId="4" xfId="0" applyNumberFormat="1" applyFont="1" applyFill="1" applyBorder="1"/>
    <xf numFmtId="167" fontId="60" fillId="25" borderId="4" xfId="0" applyNumberFormat="1" applyFont="1" applyFill="1" applyBorder="1" applyAlignment="1">
      <alignment horizontal="left" indent="2"/>
    </xf>
    <xf numFmtId="167" fontId="60" fillId="25" borderId="4" xfId="0" applyNumberFormat="1" applyFont="1" applyFill="1" applyBorder="1"/>
    <xf numFmtId="166" fontId="60" fillId="25" borderId="4" xfId="0" applyNumberFormat="1" applyFont="1" applyFill="1" applyBorder="1"/>
    <xf numFmtId="1" fontId="60" fillId="25" borderId="4" xfId="0" applyNumberFormat="1" applyFont="1" applyFill="1" applyBorder="1"/>
    <xf numFmtId="2" fontId="60" fillId="25" borderId="4" xfId="0" applyNumberFormat="1" applyFont="1" applyFill="1" applyBorder="1"/>
    <xf numFmtId="170" fontId="60" fillId="25" borderId="4" xfId="0" applyNumberFormat="1" applyFont="1" applyFill="1" applyBorder="1"/>
    <xf numFmtId="172" fontId="0" fillId="23" borderId="0" xfId="0" applyNumberFormat="1" applyFill="1" applyBorder="1"/>
    <xf numFmtId="2" fontId="8" fillId="24" borderId="13" xfId="0" applyNumberFormat="1" applyFont="1" applyFill="1" applyBorder="1"/>
    <xf numFmtId="0" fontId="0" fillId="25" borderId="12" xfId="0" applyFill="1" applyBorder="1"/>
    <xf numFmtId="0" fontId="39" fillId="32" borderId="47" xfId="0" applyFont="1" applyFill="1" applyBorder="1" applyAlignment="1">
      <alignment horizontal="left"/>
    </xf>
    <xf numFmtId="166" fontId="39" fillId="32" borderId="47" xfId="0" applyNumberFormat="1" applyFont="1" applyFill="1" applyBorder="1" applyAlignment="1">
      <alignment horizontal="center"/>
    </xf>
    <xf numFmtId="166" fontId="39" fillId="32" borderId="27" xfId="0" applyNumberFormat="1" applyFont="1" applyFill="1" applyBorder="1" applyAlignment="1">
      <alignment horizontal="center"/>
    </xf>
    <xf numFmtId="168" fontId="39" fillId="32" borderId="26" xfId="0" applyNumberFormat="1" applyFont="1" applyFill="1" applyBorder="1" applyAlignment="1">
      <alignment horizontal="center"/>
    </xf>
    <xf numFmtId="170" fontId="39" fillId="32" borderId="26" xfId="0" applyNumberFormat="1" applyFont="1" applyFill="1" applyBorder="1" applyAlignment="1">
      <alignment horizontal="center"/>
    </xf>
    <xf numFmtId="166" fontId="39" fillId="0" borderId="66" xfId="0" applyNumberFormat="1" applyFont="1" applyBorder="1"/>
    <xf numFmtId="166" fontId="39" fillId="0" borderId="60" xfId="0" applyNumberFormat="1" applyFont="1" applyBorder="1"/>
    <xf numFmtId="166" fontId="43" fillId="23" borderId="66" xfId="0" applyNumberFormat="1" applyFont="1" applyFill="1" applyBorder="1" applyAlignment="1">
      <alignment horizontal="center"/>
    </xf>
    <xf numFmtId="166" fontId="39" fillId="0" borderId="60" xfId="0" applyNumberFormat="1" applyFont="1" applyBorder="1" applyAlignment="1">
      <alignment horizontal="center"/>
    </xf>
    <xf numFmtId="166" fontId="39" fillId="0" borderId="57" xfId="0" applyNumberFormat="1" applyFont="1" applyBorder="1"/>
    <xf numFmtId="166" fontId="39" fillId="23" borderId="60" xfId="0" applyNumberFormat="1" applyFont="1" applyFill="1" applyBorder="1" applyAlignment="1">
      <alignment horizontal="center"/>
    </xf>
    <xf numFmtId="166" fontId="39" fillId="23" borderId="86" xfId="0" applyNumberFormat="1" applyFont="1" applyFill="1" applyBorder="1" applyAlignment="1">
      <alignment horizontal="center"/>
    </xf>
    <xf numFmtId="166" fontId="39" fillId="0" borderId="87" xfId="0" applyNumberFormat="1" applyFont="1" applyBorder="1" applyAlignment="1">
      <alignment horizontal="center"/>
    </xf>
    <xf numFmtId="166" fontId="43" fillId="23" borderId="88" xfId="0" applyNumberFormat="1" applyFont="1" applyFill="1" applyBorder="1" applyAlignment="1">
      <alignment horizontal="center"/>
    </xf>
    <xf numFmtId="166" fontId="39" fillId="0" borderId="57" xfId="0" applyNumberFormat="1" applyFont="1" applyBorder="1" applyAlignment="1">
      <alignment horizontal="center"/>
    </xf>
    <xf numFmtId="166" fontId="43" fillId="0" borderId="27" xfId="0" applyNumberFormat="1" applyFont="1" applyFill="1" applyBorder="1" applyAlignment="1">
      <alignment horizontal="center"/>
    </xf>
    <xf numFmtId="2" fontId="39" fillId="0" borderId="64" xfId="0" applyNumberFormat="1" applyFont="1" applyBorder="1"/>
    <xf numFmtId="2" fontId="39" fillId="0" borderId="61" xfId="0" applyNumberFormat="1" applyFont="1" applyBorder="1"/>
    <xf numFmtId="2" fontId="43" fillId="23" borderId="64" xfId="0" applyNumberFormat="1" applyFont="1" applyFill="1" applyBorder="1" applyAlignment="1">
      <alignment horizontal="center"/>
    </xf>
    <xf numFmtId="2" fontId="39" fillId="0" borderId="61" xfId="0" applyNumberFormat="1" applyFont="1" applyFill="1" applyBorder="1"/>
    <xf numFmtId="2" fontId="39" fillId="0" borderId="89" xfId="0" applyNumberFormat="1" applyFont="1" applyFill="1" applyBorder="1"/>
    <xf numFmtId="2" fontId="39" fillId="23" borderId="61" xfId="0" applyNumberFormat="1" applyFont="1" applyFill="1" applyBorder="1" applyAlignment="1">
      <alignment horizontal="center"/>
    </xf>
    <xf numFmtId="2" fontId="39" fillId="0" borderId="61" xfId="0" applyNumberFormat="1" applyFont="1" applyBorder="1" applyAlignment="1">
      <alignment horizontal="center"/>
    </xf>
    <xf numFmtId="2" fontId="39" fillId="23" borderId="90" xfId="0" applyNumberFormat="1" applyFont="1" applyFill="1" applyBorder="1" applyAlignment="1">
      <alignment horizontal="center"/>
    </xf>
    <xf numFmtId="2" fontId="39" fillId="0" borderId="91" xfId="0" applyNumberFormat="1" applyFont="1" applyBorder="1" applyAlignment="1">
      <alignment horizontal="center"/>
    </xf>
    <xf numFmtId="2" fontId="43" fillId="23" borderId="92" xfId="0" applyNumberFormat="1" applyFont="1" applyFill="1" applyBorder="1" applyAlignment="1">
      <alignment horizontal="center"/>
    </xf>
    <xf numFmtId="2" fontId="39" fillId="0" borderId="89" xfId="0" applyNumberFormat="1" applyFont="1" applyBorder="1" applyAlignment="1">
      <alignment horizontal="center"/>
    </xf>
    <xf numFmtId="2" fontId="43" fillId="0" borderId="26" xfId="0" applyNumberFormat="1" applyFont="1" applyFill="1" applyBorder="1" applyAlignment="1">
      <alignment horizontal="center"/>
    </xf>
    <xf numFmtId="168" fontId="43" fillId="0" borderId="26" xfId="0" applyNumberFormat="1" applyFont="1" applyFill="1" applyBorder="1" applyAlignment="1">
      <alignment horizontal="center"/>
    </xf>
    <xf numFmtId="170" fontId="39" fillId="0" borderId="64" xfId="0" applyNumberFormat="1" applyFont="1" applyBorder="1"/>
    <xf numFmtId="170" fontId="39" fillId="0" borderId="61" xfId="0" applyNumberFormat="1" applyFont="1" applyBorder="1" applyAlignment="1">
      <alignment horizontal="center"/>
    </xf>
    <xf numFmtId="170" fontId="39" fillId="25" borderId="61" xfId="0" applyNumberFormat="1" applyFont="1" applyFill="1" applyBorder="1" applyAlignment="1">
      <alignment horizontal="center"/>
    </xf>
    <xf numFmtId="170" fontId="43" fillId="23" borderId="64" xfId="0" applyNumberFormat="1" applyFont="1" applyFill="1" applyBorder="1" applyAlignment="1">
      <alignment horizontal="center"/>
    </xf>
    <xf numFmtId="170" fontId="39" fillId="0" borderId="61" xfId="0" applyNumberFormat="1" applyFont="1" applyBorder="1"/>
    <xf numFmtId="170" fontId="39" fillId="23" borderId="61" xfId="0" applyNumberFormat="1" applyFont="1" applyFill="1" applyBorder="1" applyAlignment="1">
      <alignment horizontal="center"/>
    </xf>
    <xf numFmtId="170" fontId="39" fillId="23" borderId="90" xfId="0" applyNumberFormat="1" applyFont="1" applyFill="1" applyBorder="1" applyAlignment="1">
      <alignment horizontal="center"/>
    </xf>
    <xf numFmtId="170" fontId="39" fillId="0" borderId="91" xfId="0" applyNumberFormat="1" applyFont="1" applyBorder="1" applyAlignment="1">
      <alignment horizontal="center"/>
    </xf>
    <xf numFmtId="170" fontId="43" fillId="23" borderId="92" xfId="0" applyNumberFormat="1" applyFont="1" applyFill="1" applyBorder="1" applyAlignment="1">
      <alignment horizontal="center"/>
    </xf>
    <xf numFmtId="170" fontId="39" fillId="0" borderId="89" xfId="0" applyNumberFormat="1" applyFont="1" applyBorder="1" applyAlignment="1">
      <alignment horizontal="center"/>
    </xf>
    <xf numFmtId="170" fontId="43" fillId="0" borderId="26" xfId="0" applyNumberFormat="1" applyFont="1" applyFill="1" applyBorder="1" applyAlignment="1">
      <alignment horizontal="center"/>
    </xf>
    <xf numFmtId="166" fontId="39" fillId="0" borderId="62" xfId="0" applyNumberFormat="1" applyFont="1" applyFill="1" applyBorder="1" applyAlignment="1">
      <alignment horizontal="center"/>
    </xf>
    <xf numFmtId="166" fontId="39" fillId="0" borderId="65" xfId="0" applyNumberFormat="1" applyFont="1" applyBorder="1"/>
    <xf numFmtId="166" fontId="43" fillId="23" borderId="65" xfId="0" applyNumberFormat="1" applyFont="1" applyFill="1" applyBorder="1" applyAlignment="1">
      <alignment horizontal="center"/>
    </xf>
    <xf numFmtId="166" fontId="39" fillId="0" borderId="62" xfId="0" applyNumberFormat="1" applyFont="1" applyFill="1" applyBorder="1"/>
    <xf numFmtId="166" fontId="39" fillId="0" borderId="62" xfId="0" applyNumberFormat="1" applyFont="1" applyBorder="1"/>
    <xf numFmtId="166" fontId="39" fillId="23" borderId="62" xfId="0" applyNumberFormat="1" applyFont="1" applyFill="1" applyBorder="1" applyAlignment="1">
      <alignment horizontal="center"/>
    </xf>
    <xf numFmtId="166" fontId="39" fillId="23" borderId="93" xfId="0" applyNumberFormat="1" applyFont="1" applyFill="1" applyBorder="1" applyAlignment="1">
      <alignment horizontal="center"/>
    </xf>
    <xf numFmtId="166" fontId="39" fillId="0" borderId="94" xfId="0" applyNumberFormat="1" applyFont="1" applyBorder="1" applyAlignment="1">
      <alignment horizontal="center"/>
    </xf>
    <xf numFmtId="166" fontId="43" fillId="23" borderId="95" xfId="0" applyNumberFormat="1" applyFont="1" applyFill="1" applyBorder="1" applyAlignment="1">
      <alignment horizontal="center"/>
    </xf>
    <xf numFmtId="166" fontId="39" fillId="0" borderId="58" xfId="0" applyNumberFormat="1" applyFont="1" applyBorder="1" applyAlignment="1">
      <alignment horizontal="center"/>
    </xf>
    <xf numFmtId="166" fontId="43" fillId="0" borderId="47" xfId="0" applyNumberFormat="1" applyFont="1" applyFill="1" applyBorder="1" applyAlignment="1">
      <alignment horizontal="center"/>
    </xf>
    <xf numFmtId="2" fontId="39" fillId="0" borderId="60" xfId="0" applyNumberFormat="1" applyFont="1" applyBorder="1" applyAlignment="1">
      <alignment horizontal="center"/>
    </xf>
    <xf numFmtId="2" fontId="43" fillId="23" borderId="66" xfId="0" applyNumberFormat="1" applyFont="1" applyFill="1" applyBorder="1" applyAlignment="1">
      <alignment horizontal="center"/>
    </xf>
    <xf numFmtId="2" fontId="39" fillId="23" borderId="60" xfId="0" applyNumberFormat="1" applyFont="1" applyFill="1" applyBorder="1" applyAlignment="1">
      <alignment horizontal="center"/>
    </xf>
    <xf numFmtId="2" fontId="39" fillId="23" borderId="70" xfId="0" applyNumberFormat="1" applyFont="1" applyFill="1" applyBorder="1" applyAlignment="1">
      <alignment horizontal="center"/>
    </xf>
    <xf numFmtId="2" fontId="39" fillId="0" borderId="69" xfId="0" applyNumberFormat="1" applyFont="1" applyBorder="1" applyAlignment="1">
      <alignment horizontal="center"/>
    </xf>
    <xf numFmtId="2" fontId="43" fillId="23" borderId="96" xfId="0" applyNumberFormat="1" applyFont="1" applyFill="1" applyBorder="1" applyAlignment="1">
      <alignment horizontal="center"/>
    </xf>
    <xf numFmtId="2" fontId="39" fillId="0" borderId="70" xfId="0" applyNumberFormat="1" applyFont="1" applyBorder="1" applyAlignment="1">
      <alignment horizontal="center"/>
    </xf>
    <xf numFmtId="2" fontId="43" fillId="0" borderId="27" xfId="0" applyNumberFormat="1" applyFont="1" applyFill="1" applyBorder="1" applyAlignment="1">
      <alignment horizontal="center"/>
    </xf>
    <xf numFmtId="170" fontId="39" fillId="0" borderId="89" xfId="0" applyNumberFormat="1" applyFont="1" applyFill="1" applyBorder="1"/>
    <xf numFmtId="170" fontId="39" fillId="0" borderId="26" xfId="0" applyNumberFormat="1" applyFont="1" applyFill="1" applyBorder="1" applyAlignment="1">
      <alignment horizontal="center"/>
    </xf>
    <xf numFmtId="2" fontId="43" fillId="23" borderId="65" xfId="0" applyNumberFormat="1" applyFont="1" applyFill="1" applyBorder="1" applyAlignment="1">
      <alignment horizontal="center"/>
    </xf>
    <xf numFmtId="2" fontId="39" fillId="23" borderId="62" xfId="0" applyNumberFormat="1" applyFont="1" applyFill="1" applyBorder="1" applyAlignment="1">
      <alignment horizontal="center"/>
    </xf>
    <xf numFmtId="2" fontId="39" fillId="0" borderId="58" xfId="0" applyNumberFormat="1" applyFont="1" applyBorder="1" applyAlignment="1">
      <alignment horizontal="center"/>
    </xf>
    <xf numFmtId="2" fontId="39" fillId="0" borderId="66" xfId="0" applyNumberFormat="1" applyFont="1" applyBorder="1"/>
    <xf numFmtId="2" fontId="43" fillId="23" borderId="69" xfId="0" applyNumberFormat="1" applyFont="1" applyFill="1" applyBorder="1" applyAlignment="1">
      <alignment horizontal="center"/>
    </xf>
    <xf numFmtId="168" fontId="43" fillId="23" borderId="74" xfId="0" applyNumberFormat="1" applyFont="1" applyFill="1" applyBorder="1" applyAlignment="1">
      <alignment horizontal="center"/>
    </xf>
    <xf numFmtId="170" fontId="39" fillId="23" borderId="60" xfId="0" applyNumberFormat="1" applyFont="1" applyFill="1" applyBorder="1" applyAlignment="1">
      <alignment horizontal="center"/>
    </xf>
    <xf numFmtId="170" fontId="39" fillId="0" borderId="70" xfId="0" applyNumberFormat="1" applyFont="1" applyBorder="1" applyAlignment="1">
      <alignment horizontal="center"/>
    </xf>
    <xf numFmtId="170" fontId="39" fillId="0" borderId="69" xfId="0" applyNumberFormat="1" applyFont="1" applyBorder="1" applyAlignment="1">
      <alignment horizontal="center"/>
    </xf>
    <xf numFmtId="170" fontId="43" fillId="23" borderId="74" xfId="0" applyNumberFormat="1" applyFont="1" applyFill="1" applyBorder="1" applyAlignment="1">
      <alignment horizontal="center"/>
    </xf>
    <xf numFmtId="1" fontId="39" fillId="32" borderId="26" xfId="0" applyNumberFormat="1" applyFont="1" applyFill="1" applyBorder="1" applyAlignment="1">
      <alignment horizontal="center"/>
    </xf>
    <xf numFmtId="2" fontId="39" fillId="0" borderId="70" xfId="0" applyNumberFormat="1" applyFont="1" applyFill="1" applyBorder="1" applyAlignment="1">
      <alignment horizontal="center"/>
    </xf>
    <xf numFmtId="2" fontId="39" fillId="0" borderId="69" xfId="0" applyNumberFormat="1" applyFont="1" applyBorder="1"/>
    <xf numFmtId="2" fontId="39" fillId="0" borderId="69" xfId="0" applyNumberFormat="1" applyFont="1" applyFill="1" applyBorder="1" applyAlignment="1">
      <alignment horizontal="center"/>
    </xf>
    <xf numFmtId="2" fontId="43" fillId="32" borderId="27" xfId="0" applyNumberFormat="1" applyFont="1" applyFill="1" applyBorder="1" applyAlignment="1">
      <alignment horizontal="center"/>
    </xf>
    <xf numFmtId="168" fontId="39" fillId="0" borderId="74" xfId="0" applyNumberFormat="1" applyFont="1" applyBorder="1"/>
    <xf numFmtId="168" fontId="43" fillId="23" borderId="75" xfId="0" applyNumberFormat="1" applyFont="1" applyFill="1" applyBorder="1" applyAlignment="1">
      <alignment horizontal="center"/>
    </xf>
    <xf numFmtId="168" fontId="43" fillId="32" borderId="26" xfId="0" applyNumberFormat="1" applyFont="1" applyFill="1" applyBorder="1" applyAlignment="1">
      <alignment horizontal="center"/>
    </xf>
    <xf numFmtId="170" fontId="39" fillId="32" borderId="47" xfId="0" applyNumberFormat="1" applyFont="1" applyFill="1" applyBorder="1" applyAlignment="1">
      <alignment horizontal="center"/>
    </xf>
    <xf numFmtId="0" fontId="0" fillId="23" borderId="0" xfId="0" applyFill="1"/>
    <xf numFmtId="0" fontId="0" fillId="23" borderId="0" xfId="0" applyFill="1" applyBorder="1" applyAlignment="1">
      <alignment horizontal="left"/>
    </xf>
    <xf numFmtId="0" fontId="65" fillId="28" borderId="9" xfId="0" applyFont="1" applyFill="1" applyBorder="1" applyAlignment="1">
      <alignment horizontal="center"/>
    </xf>
    <xf numFmtId="0" fontId="65" fillId="28" borderId="97" xfId="0" applyFont="1" applyFill="1" applyBorder="1" applyAlignment="1">
      <alignment horizontal="center"/>
    </xf>
    <xf numFmtId="170" fontId="39" fillId="33" borderId="64" xfId="0" applyNumberFormat="1" applyFont="1" applyFill="1" applyBorder="1" applyAlignment="1">
      <alignment horizontal="center"/>
    </xf>
    <xf numFmtId="2" fontId="39" fillId="0" borderId="65" xfId="0" applyNumberFormat="1" applyFont="1" applyFill="1" applyBorder="1" applyAlignment="1">
      <alignment horizontal="center"/>
    </xf>
    <xf numFmtId="2" fontId="39" fillId="33" borderId="66" xfId="0" applyNumberFormat="1" applyFont="1" applyFill="1" applyBorder="1" applyAlignment="1">
      <alignment horizontal="center"/>
    </xf>
    <xf numFmtId="0" fontId="76" fillId="34" borderId="9" xfId="0" applyFont="1" applyFill="1" applyBorder="1" applyAlignment="1">
      <alignment horizontal="center"/>
    </xf>
    <xf numFmtId="0" fontId="76" fillId="34" borderId="97" xfId="0" applyFont="1" applyFill="1" applyBorder="1" applyAlignment="1">
      <alignment horizontal="center"/>
    </xf>
    <xf numFmtId="0" fontId="74" fillId="0" borderId="0" xfId="0" applyFont="1" applyFill="1" applyBorder="1"/>
    <xf numFmtId="0" fontId="8" fillId="23" borderId="0" xfId="0" applyFont="1" applyFill="1"/>
    <xf numFmtId="0" fontId="0" fillId="23" borderId="0" xfId="0" applyFill="1" applyAlignment="1">
      <alignment horizontal="left"/>
    </xf>
    <xf numFmtId="0" fontId="0" fillId="23" borderId="0" xfId="0" applyFill="1" applyAlignment="1">
      <alignment vertical="center"/>
    </xf>
    <xf numFmtId="0" fontId="29" fillId="28" borderId="0" xfId="0" applyFont="1" applyFill="1" applyBorder="1" applyAlignment="1">
      <alignment horizontal="right" vertical="center"/>
    </xf>
    <xf numFmtId="0" fontId="10" fillId="24" borderId="0" xfId="0" applyFont="1" applyFill="1" applyBorder="1" applyAlignment="1">
      <alignment horizontal="left" vertical="top" wrapText="1"/>
    </xf>
    <xf numFmtId="0" fontId="11" fillId="23" borderId="0" xfId="66" applyFill="1" applyAlignment="1" applyProtection="1">
      <alignment vertical="center"/>
    </xf>
    <xf numFmtId="0" fontId="11" fillId="23" borderId="0" xfId="66" applyFill="1" applyAlignment="1" applyProtection="1"/>
    <xf numFmtId="0" fontId="0" fillId="23" borderId="0" xfId="0" applyFill="1" applyAlignment="1">
      <alignment horizontal="left" vertical="center"/>
    </xf>
    <xf numFmtId="0" fontId="8" fillId="23" borderId="0" xfId="0" applyFont="1" applyFill="1" applyAlignment="1">
      <alignment vertical="center"/>
    </xf>
    <xf numFmtId="0" fontId="77" fillId="23" borderId="0" xfId="0" applyFont="1" applyFill="1" applyAlignment="1">
      <alignment horizontal="left" vertical="center"/>
    </xf>
    <xf numFmtId="0" fontId="0" fillId="23" borderId="0" xfId="0" applyFill="1" applyAlignment="1">
      <alignment horizontal="right" vertical="center" indent="1"/>
    </xf>
    <xf numFmtId="0" fontId="0" fillId="23" borderId="0" xfId="0" applyFill="1" applyBorder="1" applyAlignment="1">
      <alignment vertical="center"/>
    </xf>
    <xf numFmtId="0" fontId="0" fillId="25" borderId="98" xfId="0" applyFill="1" applyBorder="1" applyAlignment="1">
      <alignment vertical="center"/>
    </xf>
    <xf numFmtId="0" fontId="0" fillId="23" borderId="0" xfId="0" applyFill="1" applyAlignment="1">
      <alignment horizontal="right" vertical="center"/>
    </xf>
    <xf numFmtId="0" fontId="10" fillId="23" borderId="0" xfId="0" applyFont="1" applyFill="1" applyAlignment="1">
      <alignment horizontal="left" vertical="center"/>
    </xf>
    <xf numFmtId="0" fontId="0" fillId="25" borderId="98" xfId="0" applyFill="1" applyBorder="1" applyAlignment="1">
      <alignment horizontal="right" vertical="center"/>
    </xf>
    <xf numFmtId="166" fontId="0" fillId="23" borderId="0" xfId="0" applyNumberFormat="1" applyFill="1" applyAlignment="1">
      <alignment vertical="center"/>
    </xf>
    <xf numFmtId="166" fontId="78" fillId="24" borderId="0" xfId="0" applyNumberFormat="1" applyFont="1" applyFill="1" applyBorder="1" applyAlignment="1">
      <alignment horizontal="center"/>
    </xf>
    <xf numFmtId="166" fontId="0" fillId="24" borderId="9" xfId="0" applyNumberFormat="1" applyFill="1" applyBorder="1" applyAlignment="1">
      <alignment horizontal="right" vertical="top"/>
    </xf>
    <xf numFmtId="0" fontId="0" fillId="24" borderId="9" xfId="0" applyFill="1" applyBorder="1" applyAlignment="1">
      <alignment vertical="top"/>
    </xf>
    <xf numFmtId="2" fontId="79" fillId="24" borderId="4" xfId="0" applyNumberFormat="1" applyFont="1" applyFill="1" applyBorder="1" applyAlignment="1">
      <alignment horizontal="right"/>
    </xf>
    <xf numFmtId="0" fontId="8" fillId="24" borderId="0" xfId="0" applyFont="1" applyFill="1" applyBorder="1" applyAlignment="1">
      <alignment horizontal="center"/>
    </xf>
    <xf numFmtId="2" fontId="8" fillId="24" borderId="10" xfId="0" applyNumberFormat="1" applyFont="1" applyFill="1" applyBorder="1" applyAlignment="1">
      <alignment horizontal="right"/>
    </xf>
    <xf numFmtId="0" fontId="11" fillId="24" borderId="0" xfId="66" applyFill="1" applyBorder="1" applyAlignment="1" applyProtection="1">
      <alignment horizontal="center"/>
    </xf>
    <xf numFmtId="0" fontId="80" fillId="24" borderId="0" xfId="0" applyFont="1" applyFill="1" applyBorder="1" applyAlignment="1">
      <alignment horizontal="center"/>
    </xf>
    <xf numFmtId="0" fontId="10" fillId="24" borderId="9" xfId="0" applyFont="1" applyFill="1" applyBorder="1" applyAlignment="1">
      <alignment horizontal="right"/>
    </xf>
    <xf numFmtId="166" fontId="43" fillId="23" borderId="99" xfId="0" applyNumberFormat="1" applyFont="1" applyFill="1" applyBorder="1" applyAlignment="1">
      <alignment horizontal="center"/>
    </xf>
    <xf numFmtId="2" fontId="43" fillId="23" borderId="67" xfId="0" applyNumberFormat="1" applyFont="1" applyFill="1" applyBorder="1" applyAlignment="1">
      <alignment horizontal="center"/>
    </xf>
    <xf numFmtId="2" fontId="43" fillId="23" borderId="99" xfId="0" applyNumberFormat="1" applyFont="1" applyFill="1" applyBorder="1" applyAlignment="1">
      <alignment horizontal="center"/>
    </xf>
    <xf numFmtId="170" fontId="43" fillId="23" borderId="67" xfId="0" applyNumberFormat="1" applyFont="1" applyFill="1" applyBorder="1" applyAlignment="1">
      <alignment horizontal="center"/>
    </xf>
    <xf numFmtId="170" fontId="0" fillId="24" borderId="0" xfId="0" applyNumberFormat="1" applyFill="1" applyBorder="1"/>
    <xf numFmtId="0" fontId="10" fillId="23" borderId="0" xfId="0" applyFont="1" applyFill="1" applyBorder="1"/>
    <xf numFmtId="0" fontId="0" fillId="23" borderId="13" xfId="0" applyFill="1" applyBorder="1"/>
    <xf numFmtId="2" fontId="10" fillId="23" borderId="13" xfId="0" applyNumberFormat="1" applyFont="1" applyFill="1" applyBorder="1" applyAlignment="1">
      <alignment horizontal="right"/>
    </xf>
    <xf numFmtId="170" fontId="0" fillId="23" borderId="0" xfId="0" applyNumberFormat="1" applyFill="1" applyBorder="1"/>
    <xf numFmtId="2" fontId="0" fillId="23" borderId="13" xfId="0" applyNumberFormat="1" applyFill="1" applyBorder="1"/>
    <xf numFmtId="0" fontId="39" fillId="24" borderId="84" xfId="0" applyFont="1" applyFill="1" applyBorder="1"/>
    <xf numFmtId="0" fontId="10" fillId="24" borderId="10" xfId="0" applyFont="1" applyFill="1" applyBorder="1" applyAlignment="1">
      <alignment horizontal="right"/>
    </xf>
    <xf numFmtId="176" fontId="4" fillId="24" borderId="9" xfId="0" applyNumberFormat="1" applyFont="1" applyFill="1" applyBorder="1"/>
    <xf numFmtId="177" fontId="4" fillId="24" borderId="9" xfId="0" applyNumberFormat="1" applyFont="1" applyFill="1" applyBorder="1"/>
    <xf numFmtId="0" fontId="8" fillId="24" borderId="13" xfId="0" applyFont="1" applyFill="1" applyBorder="1" applyAlignment="1">
      <alignment horizontal="left"/>
    </xf>
    <xf numFmtId="0" fontId="10" fillId="24" borderId="13" xfId="0" applyFont="1" applyFill="1" applyBorder="1"/>
    <xf numFmtId="0" fontId="8" fillId="26" borderId="101" xfId="0" applyFont="1" applyFill="1" applyBorder="1" applyAlignment="1" applyProtection="1">
      <alignment horizontal="left" vertical="center" wrapText="1"/>
      <protection locked="0"/>
    </xf>
    <xf numFmtId="0" fontId="34" fillId="0" borderId="0" xfId="0" applyFont="1" applyFill="1" applyAlignment="1" applyProtection="1">
      <alignment horizontal="left" wrapText="1"/>
      <protection locked="0"/>
    </xf>
    <xf numFmtId="0" fontId="0" fillId="0" borderId="0" xfId="0" applyFill="1" applyAlignment="1" applyProtection="1">
      <alignment horizontal="left" wrapText="1"/>
      <protection locked="0"/>
    </xf>
    <xf numFmtId="167" fontId="0" fillId="0" borderId="0" xfId="0" applyNumberFormat="1" applyFill="1" applyBorder="1"/>
    <xf numFmtId="0" fontId="0" fillId="0" borderId="0" xfId="0" applyFill="1" applyAlignment="1">
      <alignment vertical="center"/>
    </xf>
    <xf numFmtId="0" fontId="0" fillId="35" borderId="98" xfId="0" applyFill="1" applyBorder="1" applyAlignment="1">
      <alignment vertical="center"/>
    </xf>
    <xf numFmtId="0" fontId="10" fillId="23" borderId="0" xfId="0" applyFont="1" applyFill="1" applyAlignment="1">
      <alignment vertical="center"/>
    </xf>
    <xf numFmtId="0" fontId="89" fillId="23" borderId="0" xfId="0" applyFont="1" applyFill="1" applyAlignment="1">
      <alignment vertical="center"/>
    </xf>
    <xf numFmtId="0" fontId="8" fillId="23" borderId="0" xfId="0" applyFont="1" applyFill="1" applyAlignment="1">
      <alignment horizontal="right" vertical="center"/>
    </xf>
    <xf numFmtId="0" fontId="8" fillId="23" borderId="0" xfId="0" applyFont="1" applyFill="1" applyAlignment="1">
      <alignment horizontal="left" vertical="center"/>
    </xf>
    <xf numFmtId="0" fontId="27" fillId="25" borderId="0" xfId="0" applyFont="1" applyFill="1" applyBorder="1" applyAlignment="1">
      <alignment horizontal="center"/>
    </xf>
    <xf numFmtId="0" fontId="0" fillId="0" borderId="0" xfId="0" applyAlignment="1">
      <alignment vertical="center"/>
    </xf>
    <xf numFmtId="0" fontId="8" fillId="35" borderId="102" xfId="0" applyFont="1" applyFill="1" applyBorder="1" applyAlignment="1">
      <alignment vertical="center"/>
    </xf>
    <xf numFmtId="0" fontId="0" fillId="35" borderId="103" xfId="0" applyFill="1" applyBorder="1" applyAlignment="1">
      <alignment vertical="center"/>
    </xf>
    <xf numFmtId="0" fontId="0" fillId="35" borderId="104" xfId="0" applyFill="1" applyBorder="1" applyAlignment="1">
      <alignment vertical="center"/>
    </xf>
    <xf numFmtId="166" fontId="8" fillId="23" borderId="0" xfId="0" applyNumberFormat="1" applyFont="1" applyFill="1" applyAlignment="1">
      <alignment horizontal="right" vertical="center"/>
    </xf>
    <xf numFmtId="0" fontId="8" fillId="23" borderId="0" xfId="0" applyFont="1" applyFill="1" applyBorder="1" applyAlignment="1">
      <alignment vertical="center"/>
    </xf>
    <xf numFmtId="0" fontId="0" fillId="23" borderId="105" xfId="0" applyFill="1" applyBorder="1" applyAlignment="1">
      <alignment vertical="center"/>
    </xf>
    <xf numFmtId="0" fontId="0" fillId="23" borderId="0" xfId="0" applyNumberFormat="1" applyFill="1" applyAlignment="1">
      <alignment vertical="center"/>
    </xf>
    <xf numFmtId="0" fontId="10" fillId="23" borderId="0" xfId="0" applyNumberFormat="1" applyFont="1" applyFill="1" applyAlignment="1">
      <alignment vertical="center"/>
    </xf>
    <xf numFmtId="166" fontId="10" fillId="23" borderId="0" xfId="0" applyNumberFormat="1" applyFont="1" applyFill="1" applyAlignment="1">
      <alignment vertical="center"/>
    </xf>
    <xf numFmtId="0" fontId="46" fillId="23" borderId="0" xfId="0" applyFont="1" applyFill="1" applyAlignment="1">
      <alignment vertical="center"/>
    </xf>
    <xf numFmtId="0" fontId="8" fillId="23" borderId="0" xfId="0" applyNumberFormat="1" applyFont="1" applyFill="1" applyAlignment="1">
      <alignment vertical="center"/>
    </xf>
    <xf numFmtId="0" fontId="10" fillId="23" borderId="0" xfId="0" applyFont="1" applyFill="1" applyAlignment="1">
      <alignment horizontal="right" vertical="center"/>
    </xf>
    <xf numFmtId="0" fontId="10" fillId="23" borderId="0" xfId="0" applyFont="1" applyFill="1" applyAlignment="1">
      <alignment horizontal="center" vertical="center"/>
    </xf>
    <xf numFmtId="0" fontId="87" fillId="23" borderId="0" xfId="0" applyFont="1" applyFill="1" applyAlignment="1">
      <alignment vertical="center"/>
    </xf>
    <xf numFmtId="0" fontId="87" fillId="23" borderId="0" xfId="0" applyFont="1" applyFill="1" applyAlignment="1">
      <alignment horizontal="center" vertical="center"/>
    </xf>
    <xf numFmtId="2" fontId="8" fillId="23" borderId="0" xfId="0" applyNumberFormat="1" applyFont="1" applyFill="1" applyAlignment="1">
      <alignment vertical="center"/>
    </xf>
    <xf numFmtId="0" fontId="69" fillId="28" borderId="18" xfId="0" applyFont="1" applyFill="1" applyBorder="1" applyAlignment="1">
      <alignment horizontal="left"/>
    </xf>
    <xf numFmtId="0" fontId="63" fillId="28" borderId="0" xfId="0" applyFont="1" applyFill="1" applyBorder="1" applyAlignment="1">
      <alignment horizontal="right"/>
    </xf>
    <xf numFmtId="0" fontId="71" fillId="24" borderId="106" xfId="0" applyFont="1" applyFill="1" applyBorder="1" applyAlignment="1"/>
    <xf numFmtId="0" fontId="93" fillId="23" borderId="0" xfId="0" applyFont="1" applyFill="1" applyAlignment="1">
      <alignment horizontal="center" vertical="center"/>
    </xf>
    <xf numFmtId="166" fontId="93" fillId="23" borderId="0" xfId="0" applyNumberFormat="1" applyFont="1" applyFill="1" applyAlignment="1">
      <alignment vertical="center"/>
    </xf>
    <xf numFmtId="0" fontId="0" fillId="25" borderId="107" xfId="0" applyFill="1" applyBorder="1" applyAlignment="1">
      <alignment horizontal="center" vertical="center"/>
    </xf>
    <xf numFmtId="166" fontId="0" fillId="25" borderId="107" xfId="0" applyNumberFormat="1" applyFill="1" applyBorder="1" applyAlignment="1">
      <alignment vertical="center"/>
    </xf>
    <xf numFmtId="2" fontId="0" fillId="23" borderId="0" xfId="0" applyNumberFormat="1" applyFill="1" applyAlignment="1">
      <alignment vertical="center"/>
    </xf>
    <xf numFmtId="0" fontId="31" fillId="0" borderId="0"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vertical="center"/>
    </xf>
    <xf numFmtId="0" fontId="30" fillId="0" borderId="0" xfId="0" applyFont="1" applyFill="1" applyBorder="1" applyAlignment="1">
      <alignment vertical="center"/>
    </xf>
    <xf numFmtId="0" fontId="32" fillId="0" borderId="0" xfId="0" applyFont="1" applyFill="1" applyBorder="1" applyAlignment="1">
      <alignment horizontal="right" vertical="center"/>
    </xf>
    <xf numFmtId="0" fontId="0" fillId="0" borderId="0" xfId="0" applyFill="1" applyBorder="1" applyAlignment="1">
      <alignment vertical="center"/>
    </xf>
    <xf numFmtId="0" fontId="29" fillId="0" borderId="0" xfId="0" applyFont="1" applyFill="1" applyBorder="1" applyAlignment="1">
      <alignment horizontal="right" vertical="center"/>
    </xf>
    <xf numFmtId="0" fontId="30" fillId="0" borderId="0" xfId="0" applyFont="1" applyFill="1"/>
    <xf numFmtId="0" fontId="96" fillId="0" borderId="0" xfId="0" applyFont="1"/>
    <xf numFmtId="0" fontId="96" fillId="0" borderId="0" xfId="0" applyFont="1" applyFill="1"/>
    <xf numFmtId="0" fontId="0" fillId="0" borderId="0" xfId="0" applyAlignment="1">
      <alignment horizontal="center" vertical="center"/>
    </xf>
    <xf numFmtId="0" fontId="111" fillId="23" borderId="0" xfId="0" applyFont="1" applyFill="1" applyAlignment="1">
      <alignment vertical="center"/>
    </xf>
    <xf numFmtId="0" fontId="10" fillId="23" borderId="0" xfId="0" quotePrefix="1" applyFont="1" applyFill="1" applyAlignment="1">
      <alignment vertical="center"/>
    </xf>
    <xf numFmtId="0" fontId="10" fillId="23" borderId="0" xfId="0" applyFont="1" applyFill="1" applyBorder="1" applyAlignment="1">
      <alignment vertical="center"/>
    </xf>
    <xf numFmtId="0" fontId="10" fillId="23" borderId="0" xfId="0" applyFont="1" applyFill="1" applyAlignment="1">
      <alignment vertical="center" wrapText="1"/>
    </xf>
    <xf numFmtId="0" fontId="10" fillId="23" borderId="0" xfId="0" quotePrefix="1" applyFont="1" applyFill="1" applyAlignment="1">
      <alignment vertical="center" wrapText="1"/>
    </xf>
    <xf numFmtId="0" fontId="0" fillId="0" borderId="0" xfId="0" applyFill="1" applyAlignment="1">
      <alignment horizontal="center" vertical="center"/>
    </xf>
    <xf numFmtId="0" fontId="0" fillId="0" borderId="0" xfId="0" applyFill="1" applyAlignment="1"/>
    <xf numFmtId="0" fontId="0" fillId="23" borderId="0" xfId="0" applyFill="1" applyAlignment="1">
      <alignment horizontal="center" vertical="center"/>
    </xf>
    <xf numFmtId="0" fontId="8" fillId="24" borderId="0" xfId="0" applyFont="1" applyFill="1" applyBorder="1" applyAlignment="1">
      <alignment vertical="center"/>
    </xf>
    <xf numFmtId="0" fontId="8" fillId="30" borderId="0" xfId="0" applyFont="1" applyFill="1" applyAlignment="1">
      <alignment vertical="center"/>
    </xf>
    <xf numFmtId="0" fontId="8" fillId="30" borderId="0" xfId="0" applyFont="1" applyFill="1" applyBorder="1" applyAlignment="1">
      <alignment vertical="center"/>
    </xf>
    <xf numFmtId="0" fontId="112" fillId="25" borderId="98" xfId="0" applyFont="1" applyFill="1" applyBorder="1" applyAlignment="1">
      <alignment vertical="center"/>
    </xf>
    <xf numFmtId="0" fontId="8" fillId="3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0" xfId="0" applyFill="1" applyAlignment="1">
      <alignment horizontal="left" vertical="center"/>
    </xf>
    <xf numFmtId="0" fontId="8" fillId="30" borderId="0" xfId="0" applyFont="1" applyFill="1" applyAlignment="1">
      <alignment horizontal="left" vertical="center"/>
    </xf>
    <xf numFmtId="0" fontId="46" fillId="23" borderId="0" xfId="0" applyFont="1" applyFill="1" applyAlignment="1">
      <alignment horizontal="left" vertical="center"/>
    </xf>
    <xf numFmtId="0" fontId="99" fillId="23" borderId="0" xfId="0" applyFont="1" applyFill="1" applyAlignment="1">
      <alignment horizontal="left" vertical="center"/>
    </xf>
    <xf numFmtId="0" fontId="46" fillId="23" borderId="0" xfId="0" applyFont="1" applyFill="1" applyAlignment="1">
      <alignment horizontal="right" vertical="center" wrapText="1"/>
    </xf>
    <xf numFmtId="0" fontId="46" fillId="23" borderId="0" xfId="0" applyFont="1" applyFill="1" applyAlignment="1">
      <alignment horizontal="right" vertical="center"/>
    </xf>
    <xf numFmtId="0" fontId="10" fillId="23" borderId="0" xfId="0" applyFont="1" applyFill="1" applyAlignment="1">
      <alignment horizontal="center" vertical="center" wrapText="1"/>
    </xf>
    <xf numFmtId="168" fontId="60" fillId="23" borderId="4" xfId="0" applyNumberFormat="1" applyFont="1" applyFill="1" applyBorder="1"/>
    <xf numFmtId="0" fontId="10" fillId="0" borderId="0" xfId="0" applyFont="1" applyFill="1" applyAlignment="1">
      <alignment vertical="center"/>
    </xf>
    <xf numFmtId="0" fontId="30" fillId="0" borderId="0" xfId="0" applyFont="1" applyFill="1" applyAlignment="1">
      <alignment vertical="center"/>
    </xf>
    <xf numFmtId="0" fontId="96" fillId="0" borderId="0" xfId="0" applyFont="1" applyAlignment="1">
      <alignment vertical="center"/>
    </xf>
    <xf numFmtId="0" fontId="96" fillId="0" borderId="0" xfId="0" applyFont="1" applyFill="1" applyAlignment="1">
      <alignment vertical="center"/>
    </xf>
    <xf numFmtId="2" fontId="96" fillId="0" borderId="0" xfId="0" applyNumberFormat="1" applyFont="1" applyAlignment="1">
      <alignment vertical="center"/>
    </xf>
    <xf numFmtId="0" fontId="94" fillId="0" borderId="0" xfId="51" applyFill="1" applyAlignment="1" applyProtection="1">
      <alignment vertical="center"/>
    </xf>
    <xf numFmtId="0" fontId="10" fillId="0" borderId="0" xfId="0" quotePrefix="1" applyFont="1" applyFill="1" applyAlignment="1">
      <alignment vertical="center" wrapText="1"/>
    </xf>
    <xf numFmtId="0" fontId="10" fillId="0" borderId="0" xfId="0" applyFont="1" applyFill="1" applyAlignment="1">
      <alignment vertical="center" wrapText="1"/>
    </xf>
    <xf numFmtId="0" fontId="78" fillId="0" borderId="0" xfId="0" applyFont="1" applyFill="1" applyAlignment="1">
      <alignment vertical="center"/>
    </xf>
    <xf numFmtId="0" fontId="10" fillId="0" borderId="0" xfId="0" applyFont="1" applyFill="1" applyAlignment="1">
      <alignment wrapText="1"/>
    </xf>
    <xf numFmtId="0" fontId="98" fillId="0" borderId="0" xfId="0" applyFont="1" applyFill="1" applyBorder="1" applyAlignment="1">
      <alignment vertical="center" wrapText="1"/>
    </xf>
    <xf numFmtId="0" fontId="78" fillId="0" borderId="0" xfId="0" applyFont="1" applyFill="1"/>
    <xf numFmtId="0" fontId="10" fillId="0" borderId="0" xfId="0" applyFont="1" applyFill="1" applyBorder="1" applyAlignment="1">
      <alignment vertical="center"/>
    </xf>
    <xf numFmtId="0" fontId="6" fillId="0" borderId="0" xfId="0" applyFont="1" applyFill="1" applyAlignment="1">
      <alignment vertical="center"/>
    </xf>
    <xf numFmtId="166" fontId="10" fillId="0" borderId="0" xfId="0" applyNumberFormat="1" applyFont="1" applyFill="1" applyBorder="1" applyAlignment="1">
      <alignment vertical="center"/>
    </xf>
    <xf numFmtId="2" fontId="10" fillId="0" borderId="0" xfId="0" applyNumberFormat="1" applyFont="1" applyFill="1" applyAlignment="1">
      <alignment vertical="center"/>
    </xf>
    <xf numFmtId="0" fontId="32" fillId="0" borderId="0" xfId="0" applyFont="1" applyFill="1" applyAlignment="1">
      <alignment vertical="center"/>
    </xf>
    <xf numFmtId="0" fontId="8" fillId="27" borderId="102" xfId="0" applyFont="1" applyFill="1" applyBorder="1" applyAlignment="1">
      <alignment vertical="center"/>
    </xf>
    <xf numFmtId="0" fontId="0" fillId="27" borderId="103" xfId="0" applyFill="1" applyBorder="1" applyAlignment="1">
      <alignment vertical="center"/>
    </xf>
    <xf numFmtId="0" fontId="0" fillId="27" borderId="104" xfId="0" applyFill="1" applyBorder="1" applyAlignment="1">
      <alignment vertical="center"/>
    </xf>
    <xf numFmtId="0" fontId="90" fillId="27" borderId="103" xfId="0" applyFont="1" applyFill="1" applyBorder="1" applyAlignment="1">
      <alignment vertical="center"/>
    </xf>
    <xf numFmtId="168" fontId="91" fillId="27" borderId="103" xfId="0" applyNumberFormat="1" applyFont="1" applyFill="1" applyBorder="1" applyAlignment="1">
      <alignment vertical="center"/>
    </xf>
    <xf numFmtId="0" fontId="91" fillId="27" borderId="103" xfId="0" applyFont="1" applyFill="1" applyBorder="1" applyAlignment="1">
      <alignment horizontal="left" vertical="center" indent="2"/>
    </xf>
    <xf numFmtId="2" fontId="91" fillId="27" borderId="103" xfId="0" applyNumberFormat="1" applyFont="1" applyFill="1" applyBorder="1" applyAlignment="1">
      <alignment vertical="center"/>
    </xf>
    <xf numFmtId="0" fontId="0" fillId="27" borderId="108" xfId="0" applyFill="1" applyBorder="1" applyAlignment="1">
      <alignment vertical="center"/>
    </xf>
    <xf numFmtId="0" fontId="90" fillId="27" borderId="108" xfId="0" applyFont="1" applyFill="1" applyBorder="1" applyAlignment="1">
      <alignment vertical="center"/>
    </xf>
    <xf numFmtId="2" fontId="91" fillId="27" borderId="109" xfId="0" applyNumberFormat="1" applyFont="1" applyFill="1" applyBorder="1" applyAlignment="1">
      <alignment vertical="center"/>
    </xf>
    <xf numFmtId="0" fontId="78" fillId="24" borderId="0" xfId="0" applyFont="1" applyFill="1" applyBorder="1" applyAlignment="1">
      <alignment vertical="center" wrapText="1"/>
    </xf>
    <xf numFmtId="0" fontId="98" fillId="24" borderId="0" xfId="0" applyFont="1" applyFill="1" applyBorder="1" applyAlignment="1">
      <alignment vertical="center" wrapText="1"/>
    </xf>
    <xf numFmtId="0" fontId="10" fillId="24" borderId="0" xfId="0" applyFont="1" applyFill="1" applyBorder="1" applyAlignment="1">
      <alignment vertical="center"/>
    </xf>
    <xf numFmtId="0" fontId="113" fillId="0" borderId="0" xfId="0" applyFont="1" applyFill="1" applyBorder="1" applyAlignment="1">
      <alignment vertical="center" wrapText="1"/>
    </xf>
    <xf numFmtId="1" fontId="10" fillId="24" borderId="110" xfId="0" applyNumberFormat="1" applyFont="1" applyFill="1" applyBorder="1" applyAlignment="1">
      <alignment horizontal="center" vertical="center"/>
    </xf>
    <xf numFmtId="0" fontId="98" fillId="24" borderId="0" xfId="0" applyFont="1" applyFill="1" applyBorder="1" applyAlignment="1">
      <alignment horizontal="left" vertical="center" indent="1"/>
    </xf>
    <xf numFmtId="0" fontId="31" fillId="28" borderId="111" xfId="0" applyFont="1" applyFill="1" applyBorder="1" applyAlignment="1">
      <alignment horizontal="left" vertical="center"/>
    </xf>
    <xf numFmtId="0" fontId="31" fillId="28" borderId="112" xfId="0" applyFont="1" applyFill="1" applyBorder="1" applyAlignment="1">
      <alignment vertical="center"/>
    </xf>
    <xf numFmtId="0" fontId="30" fillId="28" borderId="112" xfId="0" applyFont="1" applyFill="1" applyBorder="1" applyAlignment="1">
      <alignment vertical="center"/>
    </xf>
    <xf numFmtId="0" fontId="32" fillId="28" borderId="112" xfId="0" applyFont="1" applyFill="1" applyBorder="1" applyAlignment="1">
      <alignment horizontal="right" vertical="center"/>
    </xf>
    <xf numFmtId="0" fontId="0" fillId="28" borderId="112" xfId="0" applyFill="1" applyBorder="1" applyAlignment="1">
      <alignment vertical="center"/>
    </xf>
    <xf numFmtId="0" fontId="29" fillId="28" borderId="113" xfId="0" applyFont="1" applyFill="1" applyBorder="1" applyAlignment="1">
      <alignment horizontal="right" vertical="center"/>
    </xf>
    <xf numFmtId="0" fontId="96" fillId="24" borderId="0" xfId="0" applyFont="1" applyFill="1" applyBorder="1" applyAlignment="1">
      <alignment vertical="center"/>
    </xf>
    <xf numFmtId="0" fontId="0" fillId="24" borderId="0" xfId="0" applyFill="1" applyBorder="1" applyAlignment="1">
      <alignment vertical="center"/>
    </xf>
    <xf numFmtId="0" fontId="0" fillId="24" borderId="114" xfId="0" applyFill="1" applyBorder="1" applyAlignment="1">
      <alignment vertical="center"/>
    </xf>
    <xf numFmtId="0" fontId="0" fillId="24" borderId="115" xfId="0" applyFill="1" applyBorder="1" applyAlignment="1">
      <alignment vertical="center"/>
    </xf>
    <xf numFmtId="0" fontId="94" fillId="24" borderId="0" xfId="51" applyFill="1" applyBorder="1" applyAlignment="1" applyProtection="1">
      <alignment vertical="center"/>
    </xf>
    <xf numFmtId="0" fontId="10" fillId="24" borderId="115" xfId="0" applyFont="1" applyFill="1" applyBorder="1" applyAlignment="1">
      <alignment vertical="center"/>
    </xf>
    <xf numFmtId="0" fontId="10" fillId="24" borderId="0" xfId="0" quotePrefix="1" applyFont="1" applyFill="1" applyBorder="1" applyAlignment="1">
      <alignment vertical="center" wrapText="1"/>
    </xf>
    <xf numFmtId="0" fontId="0" fillId="24" borderId="116" xfId="0" applyFill="1" applyBorder="1" applyAlignment="1">
      <alignment vertical="center"/>
    </xf>
    <xf numFmtId="0" fontId="0" fillId="24" borderId="117" xfId="0" applyFill="1" applyBorder="1" applyAlignment="1">
      <alignment vertical="center"/>
    </xf>
    <xf numFmtId="0" fontId="30" fillId="24" borderId="0" xfId="0" applyFont="1" applyFill="1" applyBorder="1" applyAlignment="1">
      <alignment vertical="center"/>
    </xf>
    <xf numFmtId="0" fontId="30" fillId="24" borderId="114" xfId="0" applyFont="1" applyFill="1" applyBorder="1" applyAlignment="1">
      <alignment vertical="center"/>
    </xf>
    <xf numFmtId="0" fontId="97" fillId="24" borderId="0" xfId="0" applyFont="1" applyFill="1" applyBorder="1" applyAlignment="1">
      <alignment horizontal="left" vertical="center" wrapText="1" indent="1"/>
    </xf>
    <xf numFmtId="0" fontId="78" fillId="24" borderId="114" xfId="0" applyFont="1" applyFill="1" applyBorder="1" applyAlignment="1">
      <alignment vertical="center" wrapText="1"/>
    </xf>
    <xf numFmtId="0" fontId="10" fillId="24" borderId="0" xfId="0" applyFont="1" applyFill="1" applyBorder="1" applyAlignment="1">
      <alignment horizontal="left" vertical="center" indent="1"/>
    </xf>
    <xf numFmtId="0" fontId="98" fillId="24" borderId="114" xfId="0" applyFont="1" applyFill="1" applyBorder="1" applyAlignment="1">
      <alignment vertical="center" wrapText="1"/>
    </xf>
    <xf numFmtId="0" fontId="10" fillId="24" borderId="114" xfId="0" applyFont="1" applyFill="1" applyBorder="1" applyAlignment="1">
      <alignment vertical="center"/>
    </xf>
    <xf numFmtId="0" fontId="10" fillId="24" borderId="0" xfId="0" applyFont="1" applyFill="1" applyBorder="1" applyAlignment="1">
      <alignment horizontal="center" vertical="center"/>
    </xf>
    <xf numFmtId="0" fontId="78" fillId="24" borderId="0" xfId="0" applyFont="1" applyFill="1" applyBorder="1" applyAlignment="1">
      <alignment vertical="center"/>
    </xf>
    <xf numFmtId="0" fontId="78" fillId="24" borderId="114" xfId="0" applyFont="1" applyFill="1" applyBorder="1" applyAlignment="1">
      <alignment vertical="center"/>
    </xf>
    <xf numFmtId="0" fontId="10" fillId="24" borderId="116" xfId="0" applyFont="1" applyFill="1" applyBorder="1" applyAlignment="1">
      <alignment horizontal="left" vertical="center" indent="1"/>
    </xf>
    <xf numFmtId="0" fontId="10" fillId="24" borderId="116" xfId="0" applyFont="1" applyFill="1" applyBorder="1" applyAlignment="1">
      <alignment vertical="center"/>
    </xf>
    <xf numFmtId="0" fontId="10" fillId="24" borderId="117" xfId="0" applyFont="1" applyFill="1" applyBorder="1" applyAlignment="1">
      <alignment vertical="center"/>
    </xf>
    <xf numFmtId="0" fontId="114" fillId="24" borderId="115" xfId="0" applyFont="1" applyFill="1" applyBorder="1" applyAlignment="1">
      <alignment vertical="center" wrapText="1"/>
    </xf>
    <xf numFmtId="0" fontId="115" fillId="27" borderId="118" xfId="0" applyFont="1" applyFill="1" applyBorder="1" applyAlignment="1">
      <alignment vertical="center"/>
    </xf>
    <xf numFmtId="0" fontId="96" fillId="24" borderId="0" xfId="0" applyFont="1" applyFill="1" applyBorder="1" applyAlignment="1"/>
    <xf numFmtId="0" fontId="0" fillId="24" borderId="0" xfId="0" applyFill="1" applyBorder="1" applyAlignment="1"/>
    <xf numFmtId="0" fontId="0" fillId="24" borderId="114" xfId="0" applyFill="1" applyBorder="1" applyAlignment="1"/>
    <xf numFmtId="1" fontId="10" fillId="24" borderId="0" xfId="0" applyNumberFormat="1" applyFont="1" applyFill="1" applyBorder="1" applyAlignment="1">
      <alignment vertical="center"/>
    </xf>
    <xf numFmtId="2" fontId="10" fillId="24" borderId="0" xfId="0" applyNumberFormat="1" applyFont="1" applyFill="1" applyBorder="1" applyAlignment="1">
      <alignment vertical="center"/>
    </xf>
    <xf numFmtId="0" fontId="10" fillId="24" borderId="0" xfId="0" applyFont="1" applyFill="1" applyBorder="1" applyAlignment="1">
      <alignment horizontal="right" vertical="center"/>
    </xf>
    <xf numFmtId="0" fontId="10" fillId="24" borderId="111" xfId="0" applyFont="1" applyFill="1" applyBorder="1" applyAlignment="1">
      <alignment vertical="center"/>
    </xf>
    <xf numFmtId="0" fontId="96" fillId="24" borderId="112" xfId="0" applyFont="1" applyFill="1" applyBorder="1" applyAlignment="1">
      <alignment vertical="center"/>
    </xf>
    <xf numFmtId="0" fontId="96" fillId="24" borderId="113" xfId="0" applyFont="1" applyFill="1" applyBorder="1" applyAlignment="1">
      <alignment vertical="center"/>
    </xf>
    <xf numFmtId="0" fontId="8" fillId="24" borderId="115" xfId="0" applyFont="1" applyFill="1" applyBorder="1" applyAlignment="1">
      <alignment vertical="center"/>
    </xf>
    <xf numFmtId="0" fontId="10" fillId="24" borderId="114" xfId="0" applyFont="1" applyFill="1" applyBorder="1"/>
    <xf numFmtId="0" fontId="10" fillId="24" borderId="115" xfId="0" applyFont="1" applyFill="1" applyBorder="1" applyAlignment="1">
      <alignment horizontal="right" vertical="center"/>
    </xf>
    <xf numFmtId="0" fontId="8" fillId="24" borderId="119" xfId="0" applyFont="1" applyFill="1" applyBorder="1" applyAlignment="1">
      <alignment vertical="center"/>
    </xf>
    <xf numFmtId="0" fontId="30" fillId="24" borderId="112" xfId="0" applyFont="1" applyFill="1" applyBorder="1" applyAlignment="1">
      <alignment vertical="center"/>
    </xf>
    <xf numFmtId="2" fontId="10" fillId="24" borderId="116" xfId="0" applyNumberFormat="1" applyFont="1" applyFill="1" applyBorder="1" applyAlignment="1">
      <alignment vertical="center"/>
    </xf>
    <xf numFmtId="0" fontId="10" fillId="24" borderId="117" xfId="0" applyFont="1" applyFill="1" applyBorder="1"/>
    <xf numFmtId="0" fontId="112" fillId="24" borderId="0" xfId="0" applyFont="1" applyFill="1" applyBorder="1" applyAlignment="1">
      <alignment horizontal="center" vertical="center"/>
    </xf>
    <xf numFmtId="0" fontId="32" fillId="24" borderId="111" xfId="0" applyFont="1" applyFill="1" applyBorder="1" applyAlignment="1">
      <alignment vertical="center"/>
    </xf>
    <xf numFmtId="0" fontId="30" fillId="24" borderId="113" xfId="0" applyFont="1" applyFill="1" applyBorder="1" applyAlignment="1">
      <alignment vertical="center"/>
    </xf>
    <xf numFmtId="0" fontId="112" fillId="24" borderId="114" xfId="0" applyFont="1" applyFill="1" applyBorder="1" applyAlignment="1">
      <alignment horizontal="center" vertical="center"/>
    </xf>
    <xf numFmtId="0" fontId="96" fillId="24" borderId="119" xfId="0" applyFont="1" applyFill="1" applyBorder="1" applyAlignment="1">
      <alignment vertical="center"/>
    </xf>
    <xf numFmtId="0" fontId="96" fillId="24" borderId="116" xfId="0" applyFont="1" applyFill="1" applyBorder="1" applyAlignment="1">
      <alignment vertical="center"/>
    </xf>
    <xf numFmtId="0" fontId="96" fillId="24" borderId="117" xfId="0" applyFont="1" applyFill="1" applyBorder="1" applyAlignment="1">
      <alignment vertical="center"/>
    </xf>
    <xf numFmtId="0" fontId="10" fillId="24" borderId="115" xfId="0" applyFont="1" applyFill="1" applyBorder="1" applyAlignment="1">
      <alignment horizontal="center" vertical="center"/>
    </xf>
    <xf numFmtId="0" fontId="112" fillId="24" borderId="112" xfId="0" applyFont="1" applyFill="1" applyBorder="1" applyAlignment="1">
      <alignment horizontal="center" vertical="center"/>
    </xf>
    <xf numFmtId="0" fontId="112" fillId="24" borderId="113" xfId="0" applyFont="1" applyFill="1" applyBorder="1" applyAlignment="1">
      <alignment horizontal="center" vertical="center"/>
    </xf>
    <xf numFmtId="0" fontId="112" fillId="24" borderId="108" xfId="0" applyFont="1" applyFill="1" applyBorder="1" applyAlignment="1">
      <alignment horizontal="center" vertical="center"/>
    </xf>
    <xf numFmtId="0" fontId="112" fillId="24" borderId="109" xfId="0" applyFont="1" applyFill="1" applyBorder="1" applyAlignment="1">
      <alignment horizontal="center" vertical="center"/>
    </xf>
    <xf numFmtId="0" fontId="10" fillId="24" borderId="115" xfId="0" applyFont="1" applyFill="1" applyBorder="1" applyAlignment="1">
      <alignment horizontal="right" vertical="center" indent="2"/>
    </xf>
    <xf numFmtId="0" fontId="10" fillId="24" borderId="0" xfId="0" applyFont="1" applyFill="1" applyBorder="1" applyAlignment="1">
      <alignment horizontal="right" vertical="center" indent="2"/>
    </xf>
    <xf numFmtId="2" fontId="8" fillId="27" borderId="118" xfId="0" applyNumberFormat="1" applyFont="1" applyFill="1" applyBorder="1" applyAlignment="1">
      <alignment horizontal="right" vertical="center" indent="2"/>
    </xf>
    <xf numFmtId="0" fontId="8" fillId="27" borderId="109" xfId="0" applyFont="1" applyFill="1" applyBorder="1" applyAlignment="1">
      <alignment horizontal="right" vertical="center" indent="2"/>
    </xf>
    <xf numFmtId="1" fontId="116" fillId="0" borderId="98" xfId="0" applyNumberFormat="1" applyFont="1" applyFill="1" applyBorder="1" applyAlignment="1">
      <alignment horizontal="center" vertical="center"/>
    </xf>
    <xf numFmtId="169" fontId="116" fillId="0" borderId="120" xfId="0" applyNumberFormat="1" applyFont="1" applyFill="1" applyBorder="1" applyAlignment="1">
      <alignment horizontal="center" vertical="center" wrapText="1"/>
    </xf>
    <xf numFmtId="2" fontId="116" fillId="0" borderId="98" xfId="0" applyNumberFormat="1" applyFont="1" applyFill="1" applyBorder="1" applyAlignment="1">
      <alignment horizontal="center" vertical="center"/>
    </xf>
    <xf numFmtId="0" fontId="10" fillId="24" borderId="115" xfId="0" applyFont="1" applyFill="1" applyBorder="1" applyAlignment="1">
      <alignment horizontal="right" vertical="center" wrapText="1"/>
    </xf>
    <xf numFmtId="0" fontId="31" fillId="28" borderId="112" xfId="0" applyFont="1" applyFill="1" applyBorder="1" applyAlignment="1">
      <alignment horizontal="left" vertical="center"/>
    </xf>
    <xf numFmtId="0" fontId="115" fillId="27" borderId="108" xfId="0" applyFont="1" applyFill="1" applyBorder="1" applyAlignment="1">
      <alignment vertical="center"/>
    </xf>
    <xf numFmtId="0" fontId="10" fillId="24" borderId="0" xfId="0" applyFont="1" applyFill="1" applyBorder="1" applyAlignment="1">
      <alignment horizontal="right" vertical="center" wrapText="1"/>
    </xf>
    <xf numFmtId="0" fontId="10" fillId="24" borderId="112" xfId="0" applyFont="1" applyFill="1" applyBorder="1" applyAlignment="1">
      <alignment vertical="center"/>
    </xf>
    <xf numFmtId="0" fontId="8" fillId="24" borderId="116" xfId="0" applyFont="1" applyFill="1" applyBorder="1" applyAlignment="1">
      <alignment vertical="center"/>
    </xf>
    <xf numFmtId="0" fontId="32" fillId="24" borderId="112" xfId="0" applyFont="1" applyFill="1" applyBorder="1" applyAlignment="1">
      <alignment vertical="center"/>
    </xf>
    <xf numFmtId="0" fontId="8" fillId="24" borderId="0" xfId="0" applyFont="1" applyFill="1" applyBorder="1" applyAlignment="1">
      <alignment horizontal="right" vertical="center" indent="2"/>
    </xf>
    <xf numFmtId="0" fontId="10" fillId="24" borderId="115" xfId="0" applyFont="1" applyFill="1" applyBorder="1" applyAlignment="1">
      <alignment horizontal="left" vertical="center"/>
    </xf>
    <xf numFmtId="0" fontId="10" fillId="24" borderId="119" xfId="0" applyFont="1" applyFill="1" applyBorder="1" applyAlignment="1">
      <alignment vertical="center"/>
    </xf>
    <xf numFmtId="0" fontId="10" fillId="30" borderId="119" xfId="0" applyFont="1" applyFill="1" applyBorder="1" applyAlignment="1">
      <alignment vertical="center"/>
    </xf>
    <xf numFmtId="0" fontId="10" fillId="30" borderId="116" xfId="0" applyFont="1" applyFill="1" applyBorder="1" applyAlignment="1">
      <alignment vertical="center"/>
    </xf>
    <xf numFmtId="0" fontId="10" fillId="30" borderId="117" xfId="0" applyFont="1" applyFill="1" applyBorder="1" applyAlignment="1">
      <alignment vertical="center"/>
    </xf>
    <xf numFmtId="0" fontId="99" fillId="24" borderId="115" xfId="0" applyFont="1" applyFill="1" applyBorder="1" applyAlignment="1">
      <alignment vertical="center"/>
    </xf>
    <xf numFmtId="0" fontId="10" fillId="24" borderId="115" xfId="0" applyFont="1" applyFill="1" applyBorder="1" applyAlignment="1">
      <alignment horizontal="left" vertical="center" indent="1"/>
    </xf>
    <xf numFmtId="0" fontId="10" fillId="24" borderId="118" xfId="0" applyFont="1" applyFill="1" applyBorder="1" applyAlignment="1">
      <alignment vertical="center"/>
    </xf>
    <xf numFmtId="0" fontId="10" fillId="24" borderId="113" xfId="0" applyFont="1" applyFill="1" applyBorder="1" applyAlignment="1">
      <alignment vertical="center"/>
    </xf>
    <xf numFmtId="168" fontId="10" fillId="24" borderId="0" xfId="0" applyNumberFormat="1" applyFont="1" applyFill="1" applyBorder="1" applyAlignment="1">
      <alignment vertical="center"/>
    </xf>
    <xf numFmtId="0" fontId="8" fillId="35" borderId="111" xfId="0" applyFont="1" applyFill="1" applyBorder="1" applyAlignment="1">
      <alignment vertical="center"/>
    </xf>
    <xf numFmtId="0" fontId="8" fillId="35" borderId="112" xfId="0" applyFont="1" applyFill="1" applyBorder="1" applyAlignment="1">
      <alignment vertical="center"/>
    </xf>
    <xf numFmtId="0" fontId="8" fillId="35" borderId="113" xfId="0" applyFont="1" applyFill="1" applyBorder="1" applyAlignment="1">
      <alignment vertical="center"/>
    </xf>
    <xf numFmtId="0" fontId="10" fillId="24" borderId="112" xfId="0" applyFont="1" applyFill="1" applyBorder="1" applyAlignment="1">
      <alignment horizontal="center" vertical="center"/>
    </xf>
    <xf numFmtId="0" fontId="10" fillId="24" borderId="113" xfId="0" applyFont="1" applyFill="1" applyBorder="1" applyAlignment="1">
      <alignment horizontal="center" vertical="center"/>
    </xf>
    <xf numFmtId="1" fontId="10" fillId="24" borderId="112" xfId="0" applyNumberFormat="1" applyFont="1" applyFill="1" applyBorder="1" applyAlignment="1">
      <alignment horizontal="center" vertical="center"/>
    </xf>
    <xf numFmtId="170" fontId="10" fillId="24" borderId="112" xfId="0" applyNumberFormat="1" applyFont="1" applyFill="1" applyBorder="1" applyAlignment="1">
      <alignment horizontal="center" vertical="center"/>
    </xf>
    <xf numFmtId="170" fontId="10" fillId="24" borderId="111" xfId="0" applyNumberFormat="1" applyFont="1" applyFill="1" applyBorder="1" applyAlignment="1">
      <alignment horizontal="center" vertical="center"/>
    </xf>
    <xf numFmtId="170" fontId="10" fillId="24" borderId="108" xfId="0" applyNumberFormat="1" applyFont="1" applyFill="1" applyBorder="1" applyAlignment="1">
      <alignment horizontal="center" vertical="center"/>
    </xf>
    <xf numFmtId="170" fontId="10" fillId="24" borderId="118" xfId="0" applyNumberFormat="1" applyFont="1" applyFill="1" applyBorder="1" applyAlignment="1">
      <alignment horizontal="center" vertical="center"/>
    </xf>
    <xf numFmtId="2" fontId="10" fillId="24" borderId="112" xfId="0" applyNumberFormat="1" applyFont="1" applyFill="1" applyBorder="1" applyAlignment="1">
      <alignment horizontal="center" vertical="center"/>
    </xf>
    <xf numFmtId="2" fontId="10" fillId="24" borderId="108" xfId="0" applyNumberFormat="1" applyFont="1" applyFill="1" applyBorder="1" applyAlignment="1">
      <alignment horizontal="center" vertical="center"/>
    </xf>
    <xf numFmtId="1" fontId="10" fillId="24" borderId="0" xfId="0" applyNumberFormat="1" applyFont="1" applyFill="1" applyBorder="1" applyAlignment="1">
      <alignment horizontal="center" vertical="center"/>
    </xf>
    <xf numFmtId="0" fontId="10" fillId="24" borderId="114" xfId="0" applyFont="1" applyFill="1" applyBorder="1" applyAlignment="1">
      <alignment horizontal="center" vertical="center"/>
    </xf>
    <xf numFmtId="168" fontId="10" fillId="24" borderId="0" xfId="0" applyNumberFormat="1" applyFont="1" applyFill="1" applyBorder="1" applyAlignment="1">
      <alignment horizontal="center" vertical="center"/>
    </xf>
    <xf numFmtId="0" fontId="10" fillId="24" borderId="119" xfId="0" applyFont="1" applyFill="1" applyBorder="1" applyAlignment="1">
      <alignment horizontal="center" vertical="center"/>
    </xf>
    <xf numFmtId="1" fontId="10" fillId="24" borderId="116" xfId="0" applyNumberFormat="1" applyFont="1" applyFill="1" applyBorder="1" applyAlignment="1">
      <alignment horizontal="center" vertical="center"/>
    </xf>
    <xf numFmtId="0" fontId="10" fillId="24" borderId="116" xfId="0" applyFont="1" applyFill="1" applyBorder="1" applyAlignment="1">
      <alignment horizontal="center" vertical="center"/>
    </xf>
    <xf numFmtId="0" fontId="8" fillId="35" borderId="111" xfId="0" applyFont="1" applyFill="1" applyBorder="1" applyAlignment="1">
      <alignment horizontal="center" vertical="center"/>
    </xf>
    <xf numFmtId="0" fontId="8" fillId="35" borderId="112" xfId="0" applyFont="1" applyFill="1" applyBorder="1" applyAlignment="1">
      <alignment horizontal="center" vertical="center"/>
    </xf>
    <xf numFmtId="0" fontId="46" fillId="30" borderId="118" xfId="0" applyFont="1" applyFill="1" applyBorder="1" applyAlignment="1">
      <alignment vertical="center"/>
    </xf>
    <xf numFmtId="0" fontId="46" fillId="30" borderId="108" xfId="0" applyFont="1" applyFill="1" applyBorder="1"/>
    <xf numFmtId="0" fontId="46" fillId="30" borderId="109" xfId="0" applyFont="1" applyFill="1" applyBorder="1"/>
    <xf numFmtId="0" fontId="8" fillId="35" borderId="113" xfId="0" applyFont="1" applyFill="1" applyBorder="1" applyAlignment="1">
      <alignment horizontal="center" vertical="center"/>
    </xf>
    <xf numFmtId="0" fontId="10" fillId="24" borderId="117" xfId="0" applyFont="1" applyFill="1" applyBorder="1" applyAlignment="1">
      <alignment horizontal="center" vertical="center"/>
    </xf>
    <xf numFmtId="0" fontId="10" fillId="24" borderId="119" xfId="0" applyFont="1" applyFill="1" applyBorder="1" applyAlignment="1">
      <alignment horizontal="left" vertical="center" indent="1"/>
    </xf>
    <xf numFmtId="0" fontId="10" fillId="24" borderId="111" xfId="0" applyFont="1" applyFill="1" applyBorder="1"/>
    <xf numFmtId="0" fontId="10" fillId="24" borderId="112" xfId="0" applyFont="1" applyFill="1" applyBorder="1"/>
    <xf numFmtId="0" fontId="10" fillId="24" borderId="113" xfId="0" applyFont="1" applyFill="1" applyBorder="1"/>
    <xf numFmtId="0" fontId="10" fillId="24" borderId="115" xfId="0" applyFont="1" applyFill="1" applyBorder="1"/>
    <xf numFmtId="2" fontId="10" fillId="24" borderId="0" xfId="0" applyNumberFormat="1" applyFont="1" applyFill="1" applyBorder="1" applyAlignment="1">
      <alignment horizontal="center" vertical="center"/>
    </xf>
    <xf numFmtId="0" fontId="8" fillId="35" borderId="112" xfId="0" applyFont="1" applyFill="1" applyBorder="1" applyAlignment="1">
      <alignment horizontal="left" vertical="center"/>
    </xf>
    <xf numFmtId="0" fontId="117" fillId="24" borderId="0" xfId="0" applyFont="1" applyFill="1" applyBorder="1" applyAlignment="1">
      <alignment vertical="center"/>
    </xf>
    <xf numFmtId="0" fontId="30" fillId="24" borderId="0" xfId="0" applyFont="1" applyFill="1"/>
    <xf numFmtId="0" fontId="8" fillId="24" borderId="115" xfId="0" applyFont="1" applyFill="1" applyBorder="1" applyAlignment="1">
      <alignment horizontal="right" vertical="center" indent="1"/>
    </xf>
    <xf numFmtId="2" fontId="8" fillId="24" borderId="114" xfId="0" applyNumberFormat="1" applyFont="1" applyFill="1" applyBorder="1" applyAlignment="1">
      <alignment horizontal="center" vertical="center"/>
    </xf>
    <xf numFmtId="169" fontId="10" fillId="24" borderId="116" xfId="68" applyNumberFormat="1" applyFont="1" applyFill="1" applyBorder="1" applyAlignment="1">
      <alignment horizontal="center" vertical="center"/>
    </xf>
    <xf numFmtId="169" fontId="112" fillId="24" borderId="116" xfId="68" applyNumberFormat="1" applyFont="1" applyFill="1" applyBorder="1" applyAlignment="1">
      <alignment horizontal="center" vertical="center"/>
    </xf>
    <xf numFmtId="10" fontId="10" fillId="24" borderId="116" xfId="68" applyNumberFormat="1" applyFont="1" applyFill="1" applyBorder="1" applyAlignment="1">
      <alignment horizontal="center" vertical="center"/>
    </xf>
    <xf numFmtId="10" fontId="112" fillId="24" borderId="116" xfId="68" applyNumberFormat="1" applyFont="1" applyFill="1" applyBorder="1" applyAlignment="1">
      <alignment horizontal="center" vertical="center"/>
    </xf>
    <xf numFmtId="0" fontId="10" fillId="30" borderId="111" xfId="0" applyFont="1" applyFill="1" applyBorder="1" applyAlignment="1">
      <alignment horizontal="center" vertical="center"/>
    </xf>
    <xf numFmtId="1" fontId="10" fillId="30" borderId="112" xfId="0" applyNumberFormat="1" applyFont="1" applyFill="1" applyBorder="1" applyAlignment="1">
      <alignment horizontal="center" vertical="center"/>
    </xf>
    <xf numFmtId="0" fontId="112" fillId="30" borderId="112" xfId="0" applyFont="1" applyFill="1" applyBorder="1" applyAlignment="1">
      <alignment horizontal="center" vertical="center"/>
    </xf>
    <xf numFmtId="0" fontId="10" fillId="30" borderId="113" xfId="0" applyFont="1" applyFill="1" applyBorder="1" applyAlignment="1">
      <alignment horizontal="center" vertical="center"/>
    </xf>
    <xf numFmtId="0" fontId="114" fillId="24" borderId="0" xfId="0" applyFont="1" applyFill="1" applyBorder="1" applyAlignment="1">
      <alignment horizontal="center" vertical="center"/>
    </xf>
    <xf numFmtId="0" fontId="46" fillId="24" borderId="111" xfId="0" applyFont="1" applyFill="1" applyBorder="1" applyAlignment="1">
      <alignment vertical="center"/>
    </xf>
    <xf numFmtId="0" fontId="10" fillId="24" borderId="119" xfId="0" applyFont="1" applyFill="1" applyBorder="1" applyAlignment="1">
      <alignment horizontal="right" vertical="center"/>
    </xf>
    <xf numFmtId="0" fontId="10" fillId="24" borderId="116" xfId="0" applyFont="1" applyFill="1" applyBorder="1" applyAlignment="1">
      <alignment horizontal="right" vertical="center"/>
    </xf>
    <xf numFmtId="0" fontId="99" fillId="24" borderId="115" xfId="0" applyFont="1" applyFill="1" applyBorder="1" applyAlignment="1">
      <alignment horizontal="left" vertical="center" wrapText="1"/>
    </xf>
    <xf numFmtId="0" fontId="99" fillId="24" borderId="115" xfId="0" applyFont="1" applyFill="1" applyBorder="1" applyAlignment="1">
      <alignment horizontal="left" vertical="center"/>
    </xf>
    <xf numFmtId="0" fontId="10" fillId="24" borderId="0" xfId="0" applyFont="1" applyFill="1" applyBorder="1" applyAlignment="1">
      <alignment horizontal="left" vertical="center"/>
    </xf>
    <xf numFmtId="0" fontId="10" fillId="24" borderId="115" xfId="0" applyFont="1" applyFill="1" applyBorder="1" applyAlignment="1">
      <alignment horizontal="left"/>
    </xf>
    <xf numFmtId="0" fontId="8" fillId="24" borderId="115" xfId="0" applyFont="1" applyFill="1" applyBorder="1" applyAlignment="1">
      <alignment horizontal="center" vertical="center"/>
    </xf>
    <xf numFmtId="2" fontId="116" fillId="23" borderId="121" xfId="0" applyNumberFormat="1" applyFont="1" applyFill="1" applyBorder="1" applyAlignment="1">
      <alignment horizontal="center" vertical="center"/>
    </xf>
    <xf numFmtId="166" fontId="116" fillId="23" borderId="121" xfId="0" applyNumberFormat="1" applyFont="1" applyFill="1" applyBorder="1" applyAlignment="1">
      <alignment horizontal="center" vertical="center"/>
    </xf>
    <xf numFmtId="0" fontId="99" fillId="24" borderId="111" xfId="0" applyFont="1" applyFill="1" applyBorder="1" applyAlignment="1">
      <alignment horizontal="left" vertical="center"/>
    </xf>
    <xf numFmtId="0" fontId="10" fillId="24" borderId="112" xfId="0" applyFont="1" applyFill="1" applyBorder="1" applyAlignment="1">
      <alignment horizontal="right" vertical="center"/>
    </xf>
    <xf numFmtId="0" fontId="10" fillId="24" borderId="112" xfId="0" applyFont="1" applyFill="1" applyBorder="1" applyAlignment="1">
      <alignment horizontal="left" vertical="center" indent="1"/>
    </xf>
    <xf numFmtId="0" fontId="10" fillId="35" borderId="111" xfId="0" applyFont="1" applyFill="1" applyBorder="1" applyAlignment="1">
      <alignment horizontal="left" vertical="center"/>
    </xf>
    <xf numFmtId="0" fontId="10" fillId="35" borderId="113" xfId="0" applyFont="1" applyFill="1" applyBorder="1" applyAlignment="1">
      <alignment horizontal="center" vertical="center" wrapText="1"/>
    </xf>
    <xf numFmtId="0" fontId="117" fillId="24" borderId="114" xfId="0" applyFont="1" applyFill="1" applyBorder="1" applyAlignment="1">
      <alignment vertical="center"/>
    </xf>
    <xf numFmtId="0" fontId="8" fillId="35" borderId="111" xfId="0" applyFont="1" applyFill="1" applyBorder="1" applyAlignment="1">
      <alignment horizontal="left" vertical="center"/>
    </xf>
    <xf numFmtId="0" fontId="78" fillId="24" borderId="0" xfId="0" applyFont="1" applyFill="1"/>
    <xf numFmtId="0" fontId="10" fillId="24" borderId="118" xfId="0" applyFont="1" applyFill="1" applyBorder="1" applyAlignment="1">
      <alignment horizontal="center" vertical="center"/>
    </xf>
    <xf numFmtId="0" fontId="32" fillId="24" borderId="115" xfId="0" applyFont="1" applyFill="1" applyBorder="1" applyAlignment="1">
      <alignment vertical="center"/>
    </xf>
    <xf numFmtId="0" fontId="32" fillId="24" borderId="0" xfId="0" applyFont="1" applyFill="1" applyBorder="1" applyAlignment="1">
      <alignment vertical="center"/>
    </xf>
    <xf numFmtId="2" fontId="10" fillId="35" borderId="111" xfId="0" applyNumberFormat="1" applyFont="1" applyFill="1" applyBorder="1" applyAlignment="1">
      <alignment horizontal="center" vertical="center"/>
    </xf>
    <xf numFmtId="2" fontId="112" fillId="35" borderId="112" xfId="0" applyNumberFormat="1" applyFont="1" applyFill="1" applyBorder="1" applyAlignment="1">
      <alignment horizontal="center" vertical="center"/>
    </xf>
    <xf numFmtId="2" fontId="112" fillId="35" borderId="113" xfId="0" applyNumberFormat="1" applyFont="1" applyFill="1" applyBorder="1" applyAlignment="1">
      <alignment horizontal="center" vertical="center"/>
    </xf>
    <xf numFmtId="2" fontId="10" fillId="35" borderId="119" xfId="0" applyNumberFormat="1" applyFont="1" applyFill="1" applyBorder="1" applyAlignment="1">
      <alignment horizontal="center" vertical="center"/>
    </xf>
    <xf numFmtId="2" fontId="112" fillId="35" borderId="116" xfId="0" applyNumberFormat="1" applyFont="1" applyFill="1" applyBorder="1" applyAlignment="1">
      <alignment horizontal="center" vertical="center"/>
    </xf>
    <xf numFmtId="2" fontId="112" fillId="35" borderId="117" xfId="0" applyNumberFormat="1" applyFont="1" applyFill="1" applyBorder="1" applyAlignment="1">
      <alignment horizontal="center" vertical="center"/>
    </xf>
    <xf numFmtId="2" fontId="10" fillId="35" borderId="115" xfId="0" applyNumberFormat="1" applyFont="1" applyFill="1" applyBorder="1" applyAlignment="1">
      <alignment horizontal="center" vertical="center"/>
    </xf>
    <xf numFmtId="2" fontId="112" fillId="35" borderId="0" xfId="0" applyNumberFormat="1" applyFont="1" applyFill="1" applyBorder="1" applyAlignment="1">
      <alignment horizontal="center" vertical="center"/>
    </xf>
    <xf numFmtId="2" fontId="112" fillId="35" borderId="114" xfId="0" applyNumberFormat="1" applyFont="1" applyFill="1" applyBorder="1" applyAlignment="1">
      <alignment horizontal="center" vertical="center"/>
    </xf>
    <xf numFmtId="170" fontId="10" fillId="35" borderId="119" xfId="0" applyNumberFormat="1" applyFont="1" applyFill="1" applyBorder="1" applyAlignment="1">
      <alignment horizontal="center" vertical="center"/>
    </xf>
    <xf numFmtId="170" fontId="112" fillId="35" borderId="116" xfId="0" applyNumberFormat="1" applyFont="1" applyFill="1" applyBorder="1" applyAlignment="1">
      <alignment horizontal="center" vertical="center"/>
    </xf>
    <xf numFmtId="170" fontId="112" fillId="35" borderId="117" xfId="0" applyNumberFormat="1" applyFont="1" applyFill="1" applyBorder="1" applyAlignment="1">
      <alignment horizontal="center" vertical="center"/>
    </xf>
    <xf numFmtId="168" fontId="10" fillId="35" borderId="118" xfId="0" applyNumberFormat="1" applyFont="1" applyFill="1" applyBorder="1" applyAlignment="1">
      <alignment horizontal="center" vertical="center"/>
    </xf>
    <xf numFmtId="168" fontId="112" fillId="35" borderId="118" xfId="0" applyNumberFormat="1" applyFont="1" applyFill="1" applyBorder="1" applyAlignment="1">
      <alignment horizontal="center" vertical="center"/>
    </xf>
    <xf numFmtId="168" fontId="112" fillId="35" borderId="121" xfId="0" applyNumberFormat="1" applyFont="1" applyFill="1" applyBorder="1" applyAlignment="1">
      <alignment horizontal="center" vertical="center"/>
    </xf>
    <xf numFmtId="169" fontId="112" fillId="24" borderId="108" xfId="68" applyNumberFormat="1" applyFont="1" applyFill="1" applyBorder="1" applyAlignment="1">
      <alignment horizontal="center" vertical="center"/>
    </xf>
    <xf numFmtId="169" fontId="112" fillId="24" borderId="109" xfId="68" applyNumberFormat="1" applyFont="1" applyFill="1" applyBorder="1" applyAlignment="1">
      <alignment horizontal="center" vertical="center"/>
    </xf>
    <xf numFmtId="0" fontId="10" fillId="24" borderId="111" xfId="0" applyFont="1" applyFill="1" applyBorder="1" applyAlignment="1">
      <alignment horizontal="center" vertical="center"/>
    </xf>
    <xf numFmtId="2" fontId="10" fillId="35" borderId="118" xfId="0" applyNumberFormat="1" applyFont="1" applyFill="1" applyBorder="1" applyAlignment="1">
      <alignment vertical="center"/>
    </xf>
    <xf numFmtId="0" fontId="112" fillId="35" borderId="108" xfId="0" applyFont="1" applyFill="1" applyBorder="1" applyAlignment="1">
      <alignment vertical="center"/>
    </xf>
    <xf numFmtId="0" fontId="112" fillId="35" borderId="109" xfId="0" applyFont="1" applyFill="1" applyBorder="1" applyAlignment="1">
      <alignment vertical="center"/>
    </xf>
    <xf numFmtId="0" fontId="118" fillId="24" borderId="0" xfId="0" applyFont="1" applyFill="1" applyBorder="1" applyAlignment="1">
      <alignment vertical="center"/>
    </xf>
    <xf numFmtId="0" fontId="10" fillId="24" borderId="0" xfId="0" quotePrefix="1" applyFont="1" applyFill="1" applyBorder="1" applyAlignment="1">
      <alignment horizontal="left" vertical="center" wrapText="1"/>
    </xf>
    <xf numFmtId="0" fontId="119" fillId="24" borderId="115" xfId="0" applyFont="1" applyFill="1" applyBorder="1" applyAlignment="1">
      <alignment horizontal="left" vertical="center"/>
    </xf>
    <xf numFmtId="0" fontId="120" fillId="24" borderId="112" xfId="0" applyFont="1" applyFill="1" applyBorder="1" applyAlignment="1">
      <alignment horizontal="left" vertical="center"/>
    </xf>
    <xf numFmtId="0" fontId="120" fillId="24" borderId="111" xfId="0" applyFont="1" applyFill="1" applyBorder="1" applyAlignment="1">
      <alignment vertical="center"/>
    </xf>
    <xf numFmtId="0" fontId="8" fillId="24" borderId="115" xfId="0" applyFont="1" applyFill="1" applyBorder="1" applyAlignment="1">
      <alignment horizontal="left" vertical="center" indent="1"/>
    </xf>
    <xf numFmtId="0" fontId="8" fillId="24" borderId="114" xfId="0" applyFont="1" applyFill="1" applyBorder="1" applyAlignment="1">
      <alignment horizontal="center" vertical="center"/>
    </xf>
    <xf numFmtId="2" fontId="8" fillId="24" borderId="112" xfId="0" applyNumberFormat="1" applyFont="1" applyFill="1" applyBorder="1" applyAlignment="1">
      <alignment horizontal="center" vertical="center"/>
    </xf>
    <xf numFmtId="0" fontId="121" fillId="24" borderId="112" xfId="0" applyFont="1" applyFill="1" applyBorder="1" applyAlignment="1">
      <alignment horizontal="center" vertical="center"/>
    </xf>
    <xf numFmtId="1" fontId="8" fillId="24" borderId="112" xfId="0" applyNumberFormat="1" applyFont="1" applyFill="1" applyBorder="1" applyAlignment="1">
      <alignment horizontal="center" vertical="center"/>
    </xf>
    <xf numFmtId="0" fontId="10" fillId="24" borderId="119" xfId="0" applyFont="1" applyFill="1" applyBorder="1"/>
    <xf numFmtId="0" fontId="10" fillId="24" borderId="116" xfId="0" applyFont="1" applyFill="1" applyBorder="1"/>
    <xf numFmtId="0" fontId="112" fillId="24" borderId="116" xfId="0" applyFont="1" applyFill="1" applyBorder="1"/>
    <xf numFmtId="0" fontId="30" fillId="24" borderId="114" xfId="0" applyFont="1" applyFill="1" applyBorder="1"/>
    <xf numFmtId="2" fontId="10" fillId="35" borderId="112" xfId="0" applyNumberFormat="1" applyFont="1" applyFill="1" applyBorder="1" applyAlignment="1">
      <alignment horizontal="center" vertical="center"/>
    </xf>
    <xf numFmtId="2" fontId="10" fillId="35" borderId="113" xfId="0" applyNumberFormat="1" applyFont="1" applyFill="1" applyBorder="1" applyAlignment="1">
      <alignment horizontal="center" vertical="center"/>
    </xf>
    <xf numFmtId="0" fontId="10" fillId="23" borderId="0" xfId="0" applyFont="1" applyFill="1" applyBorder="1" applyAlignment="1">
      <alignment horizontal="center" vertical="center"/>
    </xf>
    <xf numFmtId="0" fontId="10" fillId="23" borderId="114" xfId="0" applyFont="1" applyFill="1" applyBorder="1" applyAlignment="1">
      <alignment horizontal="center" vertical="center"/>
    </xf>
    <xf numFmtId="0" fontId="10" fillId="23" borderId="118" xfId="0" applyFont="1" applyFill="1" applyBorder="1" applyAlignment="1">
      <alignment vertical="center"/>
    </xf>
    <xf numFmtId="170" fontId="10" fillId="23" borderId="118" xfId="0" applyNumberFormat="1" applyFont="1" applyFill="1" applyBorder="1" applyAlignment="1">
      <alignment horizontal="center" vertical="center"/>
    </xf>
    <xf numFmtId="2" fontId="10" fillId="23" borderId="108" xfId="0" applyNumberFormat="1" applyFont="1" applyFill="1" applyBorder="1" applyAlignment="1">
      <alignment horizontal="center" vertical="center"/>
    </xf>
    <xf numFmtId="170" fontId="10" fillId="23" borderId="108" xfId="0" applyNumberFormat="1" applyFont="1" applyFill="1" applyBorder="1" applyAlignment="1">
      <alignment horizontal="center" vertical="center"/>
    </xf>
    <xf numFmtId="0" fontId="8" fillId="35" borderId="122" xfId="0" applyFont="1" applyFill="1" applyBorder="1" applyAlignment="1">
      <alignment horizontal="center" vertical="center"/>
    </xf>
    <xf numFmtId="2" fontId="10" fillId="24" borderId="122" xfId="0" applyNumberFormat="1" applyFont="1" applyFill="1" applyBorder="1" applyAlignment="1">
      <alignment horizontal="center" vertical="center"/>
    </xf>
    <xf numFmtId="2" fontId="10" fillId="23" borderId="122" xfId="0" applyNumberFormat="1" applyFont="1" applyFill="1" applyBorder="1" applyAlignment="1">
      <alignment horizontal="center" vertical="center"/>
    </xf>
    <xf numFmtId="0" fontId="8" fillId="24" borderId="115" xfId="0" applyFont="1" applyFill="1" applyBorder="1" applyAlignment="1">
      <alignment horizontal="right" vertical="center"/>
    </xf>
    <xf numFmtId="3" fontId="116" fillId="0" borderId="120" xfId="0" applyNumberFormat="1" applyFont="1" applyFill="1" applyBorder="1" applyAlignment="1">
      <alignment horizontal="center" vertical="center"/>
    </xf>
    <xf numFmtId="3" fontId="10" fillId="24" borderId="112" xfId="0" applyNumberFormat="1" applyFont="1" applyFill="1" applyBorder="1" applyAlignment="1">
      <alignment vertical="center"/>
    </xf>
    <xf numFmtId="0" fontId="114" fillId="24" borderId="112" xfId="0" applyFont="1" applyFill="1" applyBorder="1" applyAlignment="1">
      <alignment horizontal="center" vertical="center"/>
    </xf>
    <xf numFmtId="0" fontId="118" fillId="24" borderId="112" xfId="0" applyFont="1" applyFill="1" applyBorder="1" applyAlignment="1">
      <alignment vertical="center"/>
    </xf>
    <xf numFmtId="0" fontId="117" fillId="24" borderId="113" xfId="0" applyFont="1" applyFill="1" applyBorder="1" applyAlignment="1">
      <alignment vertical="center"/>
    </xf>
    <xf numFmtId="0" fontId="114" fillId="24" borderId="119" xfId="0" applyFont="1" applyFill="1" applyBorder="1" applyAlignment="1">
      <alignment vertical="center" wrapText="1"/>
    </xf>
    <xf numFmtId="0" fontId="114" fillId="24" borderId="116" xfId="0" applyFont="1" applyFill="1" applyBorder="1" applyAlignment="1">
      <alignment horizontal="center" vertical="center"/>
    </xf>
    <xf numFmtId="0" fontId="117" fillId="24" borderId="117" xfId="0" applyFont="1" applyFill="1" applyBorder="1" applyAlignment="1">
      <alignment vertical="center"/>
    </xf>
    <xf numFmtId="0" fontId="11" fillId="24" borderId="0" xfId="66" applyFill="1" applyBorder="1" applyAlignment="1" applyProtection="1">
      <alignment vertical="center"/>
    </xf>
    <xf numFmtId="1" fontId="116" fillId="0" borderId="98" xfId="0" applyNumberFormat="1" applyFont="1" applyFill="1" applyBorder="1" applyAlignment="1">
      <alignment horizontal="left" vertical="center"/>
    </xf>
    <xf numFmtId="0" fontId="11" fillId="24" borderId="116" xfId="66" applyFill="1" applyBorder="1" applyAlignment="1" applyProtection="1">
      <alignment vertical="center"/>
    </xf>
    <xf numFmtId="0" fontId="113" fillId="0" borderId="0" xfId="0" applyFont="1" applyFill="1" applyAlignment="1">
      <alignment vertical="center"/>
    </xf>
    <xf numFmtId="0" fontId="113" fillId="0" borderId="0" xfId="0" applyFont="1" applyFill="1" applyAlignment="1">
      <alignment horizontal="left" vertical="center"/>
    </xf>
    <xf numFmtId="2" fontId="10" fillId="35" borderId="118" xfId="0" applyNumberFormat="1" applyFont="1" applyFill="1" applyBorder="1" applyAlignment="1">
      <alignment horizontal="center" vertical="center"/>
    </xf>
    <xf numFmtId="2" fontId="10" fillId="35" borderId="108" xfId="0" applyNumberFormat="1" applyFont="1" applyFill="1" applyBorder="1" applyAlignment="1">
      <alignment horizontal="center" vertical="center"/>
    </xf>
    <xf numFmtId="2" fontId="112" fillId="35" borderId="108" xfId="0" applyNumberFormat="1" applyFont="1" applyFill="1" applyBorder="1" applyAlignment="1">
      <alignment horizontal="center" vertical="center"/>
    </xf>
    <xf numFmtId="2" fontId="112" fillId="35" borderId="109" xfId="0" applyNumberFormat="1" applyFont="1" applyFill="1" applyBorder="1" applyAlignment="1">
      <alignment horizontal="center" vertical="center"/>
    </xf>
    <xf numFmtId="0" fontId="10" fillId="24" borderId="121" xfId="0" applyFont="1" applyFill="1" applyBorder="1" applyAlignment="1">
      <alignment horizontal="center" vertical="center"/>
    </xf>
    <xf numFmtId="0" fontId="122" fillId="24" borderId="115" xfId="0" applyFont="1" applyFill="1" applyBorder="1" applyAlignment="1">
      <alignment horizontal="center" vertical="center"/>
    </xf>
    <xf numFmtId="0" fontId="123" fillId="24" borderId="118" xfId="0" applyFont="1" applyFill="1" applyBorder="1" applyAlignment="1">
      <alignment horizontal="center" vertical="center"/>
    </xf>
    <xf numFmtId="169" fontId="123" fillId="24" borderId="118" xfId="68" applyNumberFormat="1" applyFont="1" applyFill="1" applyBorder="1" applyAlignment="1">
      <alignment horizontal="center" vertical="center"/>
    </xf>
    <xf numFmtId="0" fontId="123" fillId="24" borderId="111" xfId="0" applyFont="1" applyFill="1" applyBorder="1" applyAlignment="1">
      <alignment horizontal="center" vertical="center"/>
    </xf>
    <xf numFmtId="0" fontId="8" fillId="35" borderId="108" xfId="0" applyFont="1" applyFill="1" applyBorder="1" applyAlignment="1">
      <alignment horizontal="center" vertical="center"/>
    </xf>
    <xf numFmtId="0" fontId="46" fillId="30" borderId="116" xfId="0" applyFont="1" applyFill="1" applyBorder="1"/>
    <xf numFmtId="0" fontId="46" fillId="30" borderId="117" xfId="0" applyFont="1" applyFill="1" applyBorder="1"/>
    <xf numFmtId="0" fontId="10" fillId="27" borderId="108" xfId="0" applyFont="1" applyFill="1" applyBorder="1" applyAlignment="1">
      <alignment vertical="center"/>
    </xf>
    <xf numFmtId="170" fontId="10" fillId="35" borderId="0" xfId="0" applyNumberFormat="1" applyFont="1" applyFill="1" applyBorder="1" applyAlignment="1">
      <alignment horizontal="center" vertical="center"/>
    </xf>
    <xf numFmtId="2" fontId="10" fillId="35" borderId="0" xfId="0" applyNumberFormat="1" applyFont="1" applyFill="1" applyBorder="1" applyAlignment="1">
      <alignment horizontal="center" vertical="center"/>
    </xf>
    <xf numFmtId="2" fontId="10" fillId="35" borderId="114" xfId="0" applyNumberFormat="1" applyFont="1" applyFill="1" applyBorder="1" applyAlignment="1">
      <alignment horizontal="center" vertical="center"/>
    </xf>
    <xf numFmtId="170" fontId="10" fillId="35" borderId="116" xfId="0" applyNumberFormat="1" applyFont="1" applyFill="1" applyBorder="1" applyAlignment="1">
      <alignment horizontal="center" vertical="center"/>
    </xf>
    <xf numFmtId="2" fontId="10" fillId="35" borderId="116" xfId="0" applyNumberFormat="1" applyFont="1" applyFill="1" applyBorder="1" applyAlignment="1">
      <alignment horizontal="center" vertical="center"/>
    </xf>
    <xf numFmtId="2" fontId="10" fillId="35" borderId="117" xfId="0" applyNumberFormat="1" applyFont="1" applyFill="1" applyBorder="1" applyAlignment="1">
      <alignment horizontal="center" vertical="center"/>
    </xf>
    <xf numFmtId="0" fontId="10" fillId="35" borderId="115" xfId="0" applyFont="1" applyFill="1" applyBorder="1" applyAlignment="1">
      <alignment horizontal="center" vertical="center" wrapText="1"/>
    </xf>
    <xf numFmtId="0" fontId="10" fillId="35" borderId="114" xfId="0" applyFont="1" applyFill="1" applyBorder="1" applyAlignment="1">
      <alignment horizontal="center" vertical="center" wrapText="1"/>
    </xf>
    <xf numFmtId="0" fontId="10" fillId="35" borderId="115" xfId="0" applyFont="1" applyFill="1" applyBorder="1" applyAlignment="1">
      <alignment horizontal="center" vertical="center"/>
    </xf>
    <xf numFmtId="0" fontId="10" fillId="35" borderId="114" xfId="0" applyFont="1" applyFill="1" applyBorder="1" applyAlignment="1">
      <alignment horizontal="center" vertical="center"/>
    </xf>
    <xf numFmtId="0" fontId="10" fillId="35" borderId="119" xfId="0" applyFont="1" applyFill="1" applyBorder="1" applyAlignment="1">
      <alignment horizontal="center" vertical="center"/>
    </xf>
    <xf numFmtId="0" fontId="10" fillId="35" borderId="117" xfId="0" applyFont="1" applyFill="1" applyBorder="1" applyAlignment="1">
      <alignment horizontal="center" vertical="center"/>
    </xf>
    <xf numFmtId="0" fontId="46" fillId="0" borderId="0" xfId="0" applyFont="1" applyFill="1" applyBorder="1" applyAlignment="1">
      <alignment vertical="center"/>
    </xf>
    <xf numFmtId="0" fontId="46" fillId="0" borderId="0" xfId="0" applyFont="1" applyFill="1" applyBorder="1"/>
    <xf numFmtId="0" fontId="8" fillId="35" borderId="0" xfId="0" applyFont="1" applyFill="1" applyBorder="1" applyAlignment="1">
      <alignment horizontal="center" vertical="center"/>
    </xf>
    <xf numFmtId="0" fontId="8" fillId="35" borderId="115" xfId="0" applyFont="1" applyFill="1" applyBorder="1" applyAlignment="1">
      <alignment horizontal="center" vertical="center"/>
    </xf>
    <xf numFmtId="0" fontId="8" fillId="35" borderId="119" xfId="0" applyFont="1" applyFill="1" applyBorder="1" applyAlignment="1">
      <alignment horizontal="center" vertical="center"/>
    </xf>
    <xf numFmtId="170" fontId="10" fillId="35" borderId="0" xfId="0" applyNumberFormat="1" applyFont="1" applyFill="1" applyBorder="1" applyAlignment="1">
      <alignment horizontal="left" vertical="center"/>
    </xf>
    <xf numFmtId="170" fontId="10" fillId="35" borderId="116" xfId="0" applyNumberFormat="1" applyFont="1" applyFill="1" applyBorder="1" applyAlignment="1">
      <alignment horizontal="left" vertical="center"/>
    </xf>
    <xf numFmtId="2" fontId="10" fillId="35" borderId="0" xfId="0" applyNumberFormat="1" applyFont="1" applyFill="1" applyBorder="1" applyAlignment="1">
      <alignment horizontal="left" vertical="center"/>
    </xf>
    <xf numFmtId="2" fontId="10" fillId="35" borderId="116" xfId="0" applyNumberFormat="1" applyFont="1" applyFill="1" applyBorder="1" applyAlignment="1">
      <alignment horizontal="left" vertical="center"/>
    </xf>
    <xf numFmtId="170" fontId="10" fillId="35" borderId="112" xfId="0" applyNumberFormat="1" applyFont="1" applyFill="1" applyBorder="1" applyAlignment="1">
      <alignment horizontal="left" vertical="center"/>
    </xf>
    <xf numFmtId="170" fontId="10" fillId="35" borderId="112" xfId="0" applyNumberFormat="1" applyFont="1" applyFill="1" applyBorder="1" applyAlignment="1">
      <alignment horizontal="center" vertical="center"/>
    </xf>
    <xf numFmtId="2" fontId="46" fillId="35" borderId="0" xfId="0" applyNumberFormat="1" applyFont="1" applyFill="1" applyBorder="1" applyAlignment="1">
      <alignment horizontal="center" vertical="center"/>
    </xf>
    <xf numFmtId="166" fontId="10" fillId="24" borderId="118" xfId="68" applyNumberFormat="1" applyFont="1" applyFill="1" applyBorder="1" applyAlignment="1">
      <alignment horizontal="center" vertical="center"/>
    </xf>
    <xf numFmtId="166" fontId="112" fillId="24" borderId="108" xfId="68" applyNumberFormat="1" applyFont="1" applyFill="1" applyBorder="1" applyAlignment="1">
      <alignment horizontal="center" vertical="center"/>
    </xf>
    <xf numFmtId="166" fontId="112" fillId="24" borderId="109" xfId="68" applyNumberFormat="1" applyFont="1" applyFill="1" applyBorder="1" applyAlignment="1">
      <alignment horizontal="center" vertical="center"/>
    </xf>
    <xf numFmtId="0" fontId="123" fillId="35" borderId="113" xfId="0" applyFont="1" applyFill="1" applyBorder="1" applyAlignment="1">
      <alignment horizontal="center" vertical="center"/>
    </xf>
    <xf numFmtId="0" fontId="123" fillId="24" borderId="114" xfId="0" applyFont="1" applyFill="1" applyBorder="1" applyAlignment="1">
      <alignment horizontal="center" vertical="center"/>
    </xf>
    <xf numFmtId="0" fontId="123" fillId="24" borderId="117" xfId="0" applyFont="1" applyFill="1" applyBorder="1" applyAlignment="1">
      <alignment horizontal="center" vertical="center"/>
    </xf>
    <xf numFmtId="0" fontId="112" fillId="35" borderId="112" xfId="0" applyFont="1" applyFill="1" applyBorder="1" applyAlignment="1">
      <alignment horizontal="center" vertical="center"/>
    </xf>
    <xf numFmtId="0" fontId="10" fillId="35" borderId="113" xfId="0" applyFont="1" applyFill="1" applyBorder="1" applyAlignment="1">
      <alignment horizontal="center" vertical="center"/>
    </xf>
    <xf numFmtId="0" fontId="10" fillId="35" borderId="0" xfId="0" applyFont="1" applyFill="1" applyBorder="1" applyAlignment="1">
      <alignment horizontal="center" vertical="center"/>
    </xf>
    <xf numFmtId="0" fontId="10" fillId="35" borderId="0" xfId="0" applyFont="1" applyFill="1" applyBorder="1" applyAlignment="1">
      <alignment horizontal="right" vertical="center"/>
    </xf>
    <xf numFmtId="0" fontId="112" fillId="35" borderId="0" xfId="0" applyFont="1" applyFill="1" applyBorder="1" applyAlignment="1">
      <alignment horizontal="center" vertical="center"/>
    </xf>
    <xf numFmtId="0" fontId="121" fillId="35" borderId="0" xfId="0" applyFont="1" applyFill="1" applyBorder="1" applyAlignment="1">
      <alignment horizontal="center" vertical="center"/>
    </xf>
    <xf numFmtId="0" fontId="8" fillId="35" borderId="114" xfId="0" applyFont="1" applyFill="1" applyBorder="1" applyAlignment="1">
      <alignment horizontal="center" vertical="center"/>
    </xf>
    <xf numFmtId="10" fontId="112" fillId="35" borderId="116" xfId="68" applyNumberFormat="1" applyFont="1" applyFill="1" applyBorder="1" applyAlignment="1">
      <alignment horizontal="center" vertical="center"/>
    </xf>
    <xf numFmtId="0" fontId="8" fillId="35" borderId="112" xfId="0" applyFont="1" applyFill="1" applyBorder="1" applyAlignment="1">
      <alignment horizontal="right" vertical="center"/>
    </xf>
    <xf numFmtId="1" fontId="10" fillId="35" borderId="0" xfId="0" applyNumberFormat="1" applyFont="1" applyFill="1" applyBorder="1" applyAlignment="1">
      <alignment horizontal="left" vertical="center"/>
    </xf>
    <xf numFmtId="1" fontId="10" fillId="35" borderId="0" xfId="0" applyNumberFormat="1" applyFont="1" applyFill="1" applyBorder="1" applyAlignment="1">
      <alignment vertical="center"/>
    </xf>
    <xf numFmtId="0" fontId="10" fillId="35" borderId="0" xfId="0" applyFont="1" applyFill="1" applyBorder="1" applyAlignment="1">
      <alignment vertical="center"/>
    </xf>
    <xf numFmtId="0" fontId="10" fillId="35" borderId="115" xfId="0" applyFont="1" applyFill="1" applyBorder="1" applyAlignment="1">
      <alignment horizontal="left" vertical="center"/>
    </xf>
    <xf numFmtId="10" fontId="10" fillId="35" borderId="116" xfId="68" applyNumberFormat="1" applyFont="1" applyFill="1" applyBorder="1" applyAlignment="1">
      <alignment horizontal="left" vertical="center"/>
    </xf>
    <xf numFmtId="10" fontId="10" fillId="35" borderId="0" xfId="68" applyNumberFormat="1" applyFont="1" applyFill="1" applyBorder="1" applyAlignment="1">
      <alignment horizontal="left" vertical="center"/>
    </xf>
    <xf numFmtId="10" fontId="112" fillId="35" borderId="0" xfId="68" applyNumberFormat="1" applyFont="1" applyFill="1" applyBorder="1" applyAlignment="1">
      <alignment horizontal="center" vertical="center"/>
    </xf>
    <xf numFmtId="1" fontId="10" fillId="35" borderId="112" xfId="0" applyNumberFormat="1" applyFont="1" applyFill="1" applyBorder="1" applyAlignment="1">
      <alignment vertical="center"/>
    </xf>
    <xf numFmtId="0" fontId="10" fillId="35" borderId="112" xfId="0" applyFont="1" applyFill="1" applyBorder="1" applyAlignment="1">
      <alignment horizontal="center" vertical="center"/>
    </xf>
    <xf numFmtId="9" fontId="10" fillId="24" borderId="0" xfId="68" applyFont="1" applyFill="1" applyBorder="1" applyAlignment="1">
      <alignment horizontal="center" vertical="center"/>
    </xf>
    <xf numFmtId="9" fontId="112" fillId="24" borderId="0" xfId="68" applyFont="1" applyFill="1" applyBorder="1" applyAlignment="1">
      <alignment horizontal="center" vertical="center"/>
    </xf>
    <xf numFmtId="168" fontId="112" fillId="35" borderId="112" xfId="0" applyNumberFormat="1" applyFont="1" applyFill="1" applyBorder="1" applyAlignment="1">
      <alignment horizontal="center" vertical="center"/>
    </xf>
    <xf numFmtId="168" fontId="112" fillId="35" borderId="108" xfId="0" applyNumberFormat="1" applyFont="1" applyFill="1" applyBorder="1" applyAlignment="1">
      <alignment horizontal="center" vertical="center"/>
    </xf>
    <xf numFmtId="0" fontId="99" fillId="24" borderId="115" xfId="0" applyFont="1" applyFill="1" applyBorder="1" applyAlignment="1">
      <alignment horizontal="center" vertical="center"/>
    </xf>
    <xf numFmtId="0" fontId="31" fillId="28" borderId="0" xfId="0" applyFont="1" applyFill="1" applyBorder="1" applyAlignment="1">
      <alignment horizontal="right" vertical="center"/>
    </xf>
    <xf numFmtId="0" fontId="29" fillId="28" borderId="112" xfId="0" applyFont="1" applyFill="1" applyBorder="1" applyAlignment="1">
      <alignment horizontal="right" vertical="center"/>
    </xf>
    <xf numFmtId="0" fontId="8" fillId="27" borderId="108" xfId="0" applyFont="1" applyFill="1" applyBorder="1" applyAlignment="1">
      <alignment vertical="center"/>
    </xf>
    <xf numFmtId="10" fontId="123" fillId="24" borderId="118" xfId="68" applyNumberFormat="1" applyFont="1" applyFill="1" applyBorder="1" applyAlignment="1">
      <alignment horizontal="center" vertical="center"/>
    </xf>
    <xf numFmtId="0" fontId="36" fillId="25" borderId="0" xfId="0" applyFont="1" applyFill="1" applyBorder="1" applyAlignment="1">
      <alignment horizontal="center"/>
    </xf>
    <xf numFmtId="0" fontId="29" fillId="28" borderId="20" xfId="0" applyFont="1" applyFill="1" applyBorder="1"/>
    <xf numFmtId="1" fontId="56" fillId="26" borderId="18" xfId="0" applyNumberFormat="1" applyFont="1" applyFill="1" applyBorder="1" applyAlignment="1">
      <alignment horizontal="center"/>
    </xf>
    <xf numFmtId="0" fontId="49" fillId="26" borderId="18" xfId="0" applyFont="1" applyFill="1" applyBorder="1"/>
    <xf numFmtId="0" fontId="0" fillId="26" borderId="78" xfId="0" applyFill="1" applyBorder="1" applyAlignment="1">
      <alignment vertical="top"/>
    </xf>
    <xf numFmtId="0" fontId="0" fillId="26" borderId="79" xfId="0" applyFill="1" applyBorder="1" applyAlignment="1">
      <alignment vertical="top"/>
    </xf>
    <xf numFmtId="2" fontId="10" fillId="25" borderId="0" xfId="0" applyNumberFormat="1" applyFont="1" applyFill="1" applyBorder="1" applyAlignment="1">
      <alignment horizontal="left" vertical="center"/>
    </xf>
    <xf numFmtId="0" fontId="10" fillId="0" borderId="0" xfId="0" applyFont="1" applyBorder="1" applyAlignment="1">
      <alignment horizontal="left"/>
    </xf>
    <xf numFmtId="1" fontId="10" fillId="24" borderId="116" xfId="0" applyNumberFormat="1" applyFont="1" applyFill="1" applyBorder="1" applyAlignment="1">
      <alignment horizontal="right" vertical="center"/>
    </xf>
    <xf numFmtId="2" fontId="56" fillId="26" borderId="36" xfId="0" applyNumberFormat="1" applyFont="1" applyFill="1" applyBorder="1" applyAlignment="1">
      <alignment horizontal="center"/>
    </xf>
    <xf numFmtId="0" fontId="8" fillId="26" borderId="102" xfId="0" applyFont="1" applyFill="1" applyBorder="1" applyAlignment="1">
      <alignment vertical="center"/>
    </xf>
    <xf numFmtId="0" fontId="0" fillId="26" borderId="103" xfId="0" applyFill="1" applyBorder="1" applyAlignment="1">
      <alignment vertical="center"/>
    </xf>
    <xf numFmtId="0" fontId="0" fillId="26" borderId="104" xfId="0" applyFill="1" applyBorder="1" applyAlignment="1">
      <alignment vertical="center"/>
    </xf>
    <xf numFmtId="166" fontId="8" fillId="26" borderId="0" xfId="0" applyNumberFormat="1" applyFont="1" applyFill="1" applyBorder="1" applyAlignment="1">
      <alignment horizontal="center"/>
    </xf>
    <xf numFmtId="166" fontId="8" fillId="26" borderId="0" xfId="0" applyNumberFormat="1" applyFont="1" applyFill="1" applyBorder="1" applyAlignment="1">
      <alignment horizontal="right"/>
    </xf>
    <xf numFmtId="166" fontId="8" fillId="33" borderId="100" xfId="0" applyNumberFormat="1" applyFont="1" applyFill="1" applyBorder="1" applyAlignment="1">
      <alignment horizontal="left" indent="1"/>
    </xf>
    <xf numFmtId="166" fontId="32" fillId="29" borderId="9" xfId="0" applyNumberFormat="1" applyFont="1" applyFill="1" applyBorder="1" applyAlignment="1">
      <alignment horizontal="center"/>
    </xf>
    <xf numFmtId="0" fontId="39" fillId="24" borderId="123" xfId="0" applyFont="1" applyFill="1" applyBorder="1" applyAlignment="1">
      <alignment horizontal="center"/>
    </xf>
    <xf numFmtId="0" fontId="39" fillId="24" borderId="89" xfId="0" applyFont="1" applyFill="1" applyBorder="1" applyAlignment="1">
      <alignment horizontal="center"/>
    </xf>
    <xf numFmtId="0" fontId="39" fillId="23" borderId="58" xfId="0" applyFont="1" applyFill="1" applyBorder="1" applyProtection="1">
      <protection locked="0"/>
    </xf>
    <xf numFmtId="0" fontId="39" fillId="23" borderId="106" xfId="0" applyFont="1" applyFill="1" applyBorder="1" applyProtection="1">
      <protection locked="0"/>
    </xf>
    <xf numFmtId="166" fontId="39" fillId="23" borderId="123" xfId="0" applyNumberFormat="1" applyFont="1" applyFill="1" applyBorder="1" applyAlignment="1" applyProtection="1">
      <alignment horizontal="center"/>
      <protection locked="0"/>
    </xf>
    <xf numFmtId="2" fontId="39" fillId="23" borderId="89" xfId="0" applyNumberFormat="1" applyFont="1" applyFill="1" applyBorder="1" applyAlignment="1" applyProtection="1">
      <alignment horizontal="center"/>
      <protection locked="0"/>
    </xf>
    <xf numFmtId="170" fontId="39" fillId="23" borderId="89" xfId="0" applyNumberFormat="1" applyFont="1" applyFill="1" applyBorder="1" applyAlignment="1" applyProtection="1">
      <alignment horizontal="center"/>
      <protection locked="0"/>
    </xf>
    <xf numFmtId="0" fontId="39" fillId="23" borderId="58" xfId="0" applyFont="1" applyFill="1" applyBorder="1" applyAlignment="1" applyProtection="1">
      <alignment horizontal="left"/>
      <protection locked="0"/>
    </xf>
    <xf numFmtId="0" fontId="39" fillId="23" borderId="106" xfId="0" applyFont="1" applyFill="1" applyBorder="1" applyAlignment="1" applyProtection="1">
      <alignment horizontal="left"/>
      <protection locked="0"/>
    </xf>
    <xf numFmtId="2" fontId="39" fillId="23" borderId="57" xfId="0" applyNumberFormat="1" applyFont="1" applyFill="1" applyBorder="1" applyAlignment="1" applyProtection="1">
      <alignment horizontal="center"/>
      <protection locked="0"/>
    </xf>
    <xf numFmtId="0" fontId="39" fillId="24" borderId="124" xfId="0" applyFont="1" applyFill="1" applyBorder="1"/>
    <xf numFmtId="0" fontId="39" fillId="24" borderId="125" xfId="0" applyFont="1" applyFill="1" applyBorder="1"/>
    <xf numFmtId="0" fontId="39" fillId="24" borderId="126" xfId="0" applyFont="1" applyFill="1" applyBorder="1"/>
    <xf numFmtId="0" fontId="39" fillId="24" borderId="127" xfId="0" applyFont="1" applyFill="1" applyBorder="1"/>
    <xf numFmtId="0" fontId="39" fillId="24" borderId="128" xfId="0" applyFont="1" applyFill="1" applyBorder="1"/>
    <xf numFmtId="0" fontId="39" fillId="24" borderId="129" xfId="0" applyFont="1" applyFill="1" applyBorder="1"/>
    <xf numFmtId="0" fontId="43" fillId="24" borderId="129" xfId="0" applyFont="1" applyFill="1" applyBorder="1" applyAlignment="1">
      <alignment horizontal="center"/>
    </xf>
    <xf numFmtId="0" fontId="43" fillId="24" borderId="128" xfId="0" applyFont="1" applyFill="1" applyBorder="1" applyAlignment="1">
      <alignment horizontal="center"/>
    </xf>
    <xf numFmtId="0" fontId="43" fillId="24" borderId="125" xfId="0" applyFont="1" applyFill="1" applyBorder="1" applyAlignment="1">
      <alignment horizontal="center"/>
    </xf>
    <xf numFmtId="0" fontId="39" fillId="24" borderId="63" xfId="0" applyFont="1" applyFill="1" applyBorder="1"/>
    <xf numFmtId="0" fontId="39" fillId="24" borderId="79" xfId="0" applyFont="1" applyFill="1" applyBorder="1"/>
    <xf numFmtId="0" fontId="40" fillId="24" borderId="18" xfId="0" applyFont="1" applyFill="1" applyBorder="1"/>
    <xf numFmtId="0" fontId="39" fillId="24" borderId="130" xfId="0" applyFont="1" applyFill="1" applyBorder="1"/>
    <xf numFmtId="0" fontId="39" fillId="24" borderId="18" xfId="0" applyFont="1" applyFill="1" applyBorder="1"/>
    <xf numFmtId="0" fontId="39" fillId="24" borderId="131" xfId="0" applyFont="1" applyFill="1" applyBorder="1" applyAlignment="1">
      <alignment horizontal="center"/>
    </xf>
    <xf numFmtId="0" fontId="39" fillId="24" borderId="132" xfId="0" applyFont="1" applyFill="1" applyBorder="1" applyAlignment="1">
      <alignment horizontal="center"/>
    </xf>
    <xf numFmtId="0" fontId="39" fillId="24" borderId="133" xfId="0" applyFont="1" applyFill="1" applyBorder="1" applyAlignment="1">
      <alignment horizontal="center"/>
    </xf>
    <xf numFmtId="0" fontId="39" fillId="24" borderId="134" xfId="0" applyFont="1" applyFill="1" applyBorder="1" applyAlignment="1">
      <alignment horizontal="center"/>
    </xf>
    <xf numFmtId="0" fontId="39" fillId="24" borderId="135" xfId="0" applyFont="1" applyFill="1" applyBorder="1" applyAlignment="1">
      <alignment horizontal="center"/>
    </xf>
    <xf numFmtId="0" fontId="39" fillId="24" borderId="36" xfId="0" applyFont="1" applyFill="1" applyBorder="1" applyAlignment="1">
      <alignment horizontal="center"/>
    </xf>
    <xf numFmtId="0" fontId="43" fillId="24" borderId="136" xfId="0" applyFont="1" applyFill="1" applyBorder="1" applyAlignment="1">
      <alignment horizontal="center"/>
    </xf>
    <xf numFmtId="0" fontId="43" fillId="24" borderId="137" xfId="0" applyFont="1" applyFill="1" applyBorder="1" applyAlignment="1">
      <alignment horizontal="center"/>
    </xf>
    <xf numFmtId="0" fontId="43" fillId="24" borderId="133" xfId="0" applyFont="1" applyFill="1" applyBorder="1" applyAlignment="1">
      <alignment horizontal="center"/>
    </xf>
    <xf numFmtId="168" fontId="39" fillId="24" borderId="40" xfId="0" applyNumberFormat="1" applyFont="1" applyFill="1" applyBorder="1" applyAlignment="1">
      <alignment horizontal="left"/>
    </xf>
    <xf numFmtId="0" fontId="39" fillId="24" borderId="36" xfId="0" applyFont="1" applyFill="1" applyBorder="1"/>
    <xf numFmtId="170" fontId="39" fillId="23" borderId="57" xfId="0" applyNumberFormat="1" applyFont="1" applyFill="1" applyBorder="1" applyAlignment="1" applyProtection="1">
      <alignment horizontal="center"/>
      <protection locked="0"/>
    </xf>
    <xf numFmtId="1" fontId="39" fillId="23" borderId="57" xfId="0" applyNumberFormat="1" applyFont="1" applyFill="1" applyBorder="1" applyAlignment="1" applyProtection="1">
      <alignment horizontal="center"/>
      <protection locked="0"/>
    </xf>
    <xf numFmtId="166" fontId="39" fillId="23" borderId="59" xfId="0" applyNumberFormat="1" applyFont="1" applyFill="1" applyBorder="1" applyAlignment="1" applyProtection="1">
      <alignment horizontal="center"/>
      <protection locked="0"/>
    </xf>
    <xf numFmtId="2" fontId="39" fillId="23" borderId="60" xfId="0" applyNumberFormat="1" applyFont="1" applyFill="1" applyBorder="1" applyAlignment="1" applyProtection="1">
      <alignment horizontal="center"/>
      <protection locked="0"/>
    </xf>
    <xf numFmtId="168" fontId="39" fillId="23" borderId="61" xfId="0" applyNumberFormat="1" applyFont="1" applyFill="1" applyBorder="1" applyAlignment="1" applyProtection="1">
      <alignment horizontal="center"/>
      <protection locked="0"/>
    </xf>
    <xf numFmtId="170" fontId="39" fillId="23" borderId="62" xfId="0" applyNumberFormat="1" applyFont="1" applyFill="1" applyBorder="1" applyAlignment="1" applyProtection="1">
      <alignment horizontal="center"/>
      <protection locked="0"/>
    </xf>
    <xf numFmtId="168" fontId="39" fillId="23" borderId="35" xfId="0" applyNumberFormat="1" applyFont="1" applyFill="1" applyBorder="1" applyAlignment="1" applyProtection="1">
      <alignment horizontal="left"/>
      <protection locked="0"/>
    </xf>
    <xf numFmtId="0" fontId="39" fillId="23" borderId="29" xfId="0" applyFont="1" applyFill="1" applyBorder="1" applyProtection="1">
      <protection locked="0"/>
    </xf>
    <xf numFmtId="0" fontId="10" fillId="0" borderId="0" xfId="54"/>
    <xf numFmtId="0" fontId="10" fillId="0" borderId="0" xfId="54" applyFill="1" applyBorder="1"/>
    <xf numFmtId="0" fontId="81" fillId="28" borderId="11" xfId="54" applyFont="1" applyFill="1" applyBorder="1" applyAlignment="1">
      <alignment horizontal="right" vertical="center"/>
    </xf>
    <xf numFmtId="0" fontId="81" fillId="28" borderId="12" xfId="54" applyFont="1" applyFill="1" applyBorder="1" applyAlignment="1">
      <alignment horizontal="center" vertical="center"/>
    </xf>
    <xf numFmtId="0" fontId="81" fillId="28" borderId="12" xfId="54" applyFont="1" applyFill="1" applyBorder="1" applyAlignment="1">
      <alignment vertical="center"/>
    </xf>
    <xf numFmtId="0" fontId="31" fillId="28" borderId="12" xfId="54" applyFont="1" applyFill="1" applyBorder="1" applyAlignment="1">
      <alignment vertical="center"/>
    </xf>
    <xf numFmtId="0" fontId="30" fillId="28" borderId="12" xfId="54" applyFont="1" applyFill="1" applyBorder="1" applyAlignment="1">
      <alignment vertical="center"/>
    </xf>
    <xf numFmtId="0" fontId="32" fillId="28" borderId="12" xfId="54" applyFont="1" applyFill="1" applyBorder="1" applyAlignment="1">
      <alignment horizontal="right" vertical="center"/>
    </xf>
    <xf numFmtId="0" fontId="53" fillId="28" borderId="12" xfId="50" applyFont="1" applyFill="1" applyBorder="1" applyAlignment="1" applyProtection="1"/>
    <xf numFmtId="0" fontId="54" fillId="28" borderId="12" xfId="50" applyFont="1" applyFill="1" applyBorder="1" applyAlignment="1" applyProtection="1">
      <alignment horizontal="left" vertical="center"/>
    </xf>
    <xf numFmtId="0" fontId="54" fillId="28" borderId="12" xfId="50" applyFont="1" applyFill="1" applyBorder="1" applyAlignment="1" applyProtection="1">
      <alignment vertical="center"/>
    </xf>
    <xf numFmtId="0" fontId="10" fillId="28" borderId="12" xfId="54" applyFill="1" applyBorder="1" applyAlignment="1">
      <alignment vertical="center"/>
    </xf>
    <xf numFmtId="0" fontId="29" fillId="28" borderId="14" xfId="54" applyFont="1" applyFill="1" applyBorder="1" applyAlignment="1">
      <alignment horizontal="right" vertical="center"/>
    </xf>
    <xf numFmtId="0" fontId="36" fillId="0" borderId="0" xfId="54" applyFont="1" applyFill="1" applyBorder="1" applyAlignment="1">
      <alignment horizontal="left" vertical="center"/>
    </xf>
    <xf numFmtId="0" fontId="30" fillId="0" borderId="0" xfId="54" applyFont="1" applyFill="1" applyBorder="1" applyAlignment="1"/>
    <xf numFmtId="0" fontId="31" fillId="0" borderId="0" xfId="54" applyFont="1" applyFill="1" applyBorder="1" applyAlignment="1"/>
    <xf numFmtId="0" fontId="8" fillId="0" borderId="0" xfId="54" applyFont="1" applyFill="1" applyBorder="1" applyAlignment="1">
      <alignment horizontal="right"/>
    </xf>
    <xf numFmtId="0" fontId="32" fillId="0" borderId="0" xfId="54" applyFont="1" applyFill="1" applyBorder="1" applyAlignment="1">
      <alignment horizontal="right"/>
    </xf>
    <xf numFmtId="0" fontId="10" fillId="0" borderId="0" xfId="54" applyFill="1" applyBorder="1" applyAlignment="1"/>
    <xf numFmtId="0" fontId="8" fillId="0" borderId="0" xfId="54" applyFont="1" applyFill="1" applyBorder="1" applyAlignment="1">
      <alignment horizontal="left"/>
    </xf>
    <xf numFmtId="0" fontId="128" fillId="0" borderId="0" xfId="54" applyFont="1" applyFill="1" applyBorder="1" applyAlignment="1">
      <alignment horizontal="left"/>
    </xf>
    <xf numFmtId="0" fontId="32" fillId="0" borderId="0" xfId="54" applyFont="1" applyFill="1" applyBorder="1" applyAlignment="1">
      <alignment horizontal="center"/>
    </xf>
    <xf numFmtId="0" fontId="30" fillId="0" borderId="0" xfId="54" applyFont="1" applyFill="1" applyBorder="1"/>
    <xf numFmtId="0" fontId="29" fillId="0" borderId="0" xfId="54" applyFont="1" applyFill="1" applyBorder="1" applyAlignment="1">
      <alignment horizontal="center"/>
    </xf>
    <xf numFmtId="2" fontId="32" fillId="0" borderId="0" xfId="54" applyNumberFormat="1" applyFont="1" applyFill="1" applyBorder="1" applyAlignment="1">
      <alignment horizontal="center"/>
    </xf>
    <xf numFmtId="166" fontId="32" fillId="0" borderId="0" xfId="54" applyNumberFormat="1" applyFont="1" applyFill="1" applyBorder="1" applyAlignment="1">
      <alignment horizontal="center"/>
    </xf>
    <xf numFmtId="166" fontId="32" fillId="0" borderId="0" xfId="54" applyNumberFormat="1" applyFont="1" applyFill="1" applyBorder="1" applyAlignment="1">
      <alignment horizontal="right"/>
    </xf>
    <xf numFmtId="2" fontId="8" fillId="0" borderId="0" xfId="54" applyNumberFormat="1" applyFont="1" applyFill="1" applyBorder="1" applyAlignment="1">
      <alignment horizontal="center"/>
    </xf>
    <xf numFmtId="169" fontId="10" fillId="0" borderId="0" xfId="56" quotePrefix="1" applyNumberFormat="1" applyFont="1" applyFill="1" applyBorder="1"/>
    <xf numFmtId="0" fontId="10" fillId="0" borderId="0" xfId="54" applyFont="1" applyFill="1" applyBorder="1"/>
    <xf numFmtId="166" fontId="10" fillId="0" borderId="0" xfId="56" quotePrefix="1" applyNumberFormat="1" applyFont="1" applyFill="1" applyBorder="1" applyAlignment="1">
      <alignment horizontal="right"/>
    </xf>
    <xf numFmtId="0" fontId="133" fillId="0" borderId="0" xfId="50" applyFont="1" applyFill="1" applyBorder="1" applyAlignment="1" applyProtection="1">
      <alignment horizontal="left"/>
    </xf>
    <xf numFmtId="0" fontId="31" fillId="0" borderId="0" xfId="54" applyFont="1" applyFill="1" applyBorder="1" applyAlignment="1">
      <alignment horizontal="center"/>
    </xf>
    <xf numFmtId="0" fontId="31" fillId="0" borderId="0" xfId="54" applyFont="1" applyFill="1" applyBorder="1" applyAlignment="1">
      <alignment horizontal="left"/>
    </xf>
    <xf numFmtId="2" fontId="10" fillId="0" borderId="0" xfId="54" applyNumberFormat="1" applyFont="1" applyFill="1" applyBorder="1" applyAlignment="1">
      <alignment horizontal="center"/>
    </xf>
    <xf numFmtId="169" fontId="10" fillId="0" borderId="0" xfId="54" applyNumberFormat="1" applyFont="1" applyFill="1" applyBorder="1" applyAlignment="1">
      <alignment horizontal="center"/>
    </xf>
    <xf numFmtId="2" fontId="30" fillId="0" borderId="0" xfId="54" applyNumberFormat="1" applyFont="1" applyFill="1" applyBorder="1" applyAlignment="1">
      <alignment horizontal="center"/>
    </xf>
    <xf numFmtId="0" fontId="30" fillId="0" borderId="0" xfId="54" applyFont="1" applyFill="1" applyBorder="1" applyAlignment="1">
      <alignment horizontal="right"/>
    </xf>
    <xf numFmtId="169" fontId="10" fillId="0" borderId="0" xfId="56" applyNumberFormat="1" applyFont="1" applyFill="1" applyBorder="1" applyAlignment="1">
      <alignment horizontal="right"/>
    </xf>
    <xf numFmtId="0" fontId="10" fillId="0" borderId="0" xfId="54" applyFont="1" applyFill="1" applyBorder="1" applyAlignment="1">
      <alignment horizontal="left"/>
    </xf>
    <xf numFmtId="166" fontId="59" fillId="0" borderId="0" xfId="54" applyNumberFormat="1" applyFont="1" applyFill="1" applyBorder="1"/>
    <xf numFmtId="0" fontId="10" fillId="0" borderId="0" xfId="54" applyFill="1" applyBorder="1" applyAlignment="1">
      <alignment horizontal="left"/>
    </xf>
    <xf numFmtId="166" fontId="10" fillId="0" borderId="0" xfId="54" applyNumberFormat="1" applyFill="1" applyBorder="1"/>
    <xf numFmtId="2" fontId="10" fillId="0" borderId="0" xfId="54" applyNumberFormat="1" applyFill="1" applyBorder="1" applyAlignment="1">
      <alignment horizontal="right"/>
    </xf>
    <xf numFmtId="2" fontId="10" fillId="0" borderId="0" xfId="54" applyNumberFormat="1" applyFont="1" applyFill="1" applyBorder="1"/>
    <xf numFmtId="0" fontId="8" fillId="0" borderId="0" xfId="54" applyFont="1" applyFill="1" applyBorder="1"/>
    <xf numFmtId="2" fontId="59" fillId="0" borderId="0" xfId="54" applyNumberFormat="1" applyFont="1" applyFill="1" applyBorder="1"/>
    <xf numFmtId="0" fontId="134" fillId="0" borderId="0" xfId="54" applyFont="1" applyFill="1" applyBorder="1"/>
    <xf numFmtId="0" fontId="36" fillId="0" borderId="0" xfId="54" applyFont="1" applyFill="1" applyBorder="1"/>
    <xf numFmtId="166" fontId="129" fillId="0" borderId="0" xfId="54" applyNumberFormat="1" applyFont="1" applyFill="1" applyBorder="1"/>
    <xf numFmtId="2" fontId="8" fillId="0" borderId="0" xfId="54" applyNumberFormat="1" applyFont="1" applyFill="1" applyBorder="1" applyAlignment="1">
      <alignment horizontal="right"/>
    </xf>
    <xf numFmtId="2" fontId="8" fillId="0" borderId="0" xfId="54" applyNumberFormat="1" applyFont="1" applyFill="1" applyBorder="1"/>
    <xf numFmtId="166" fontId="8" fillId="0" borderId="0" xfId="54" applyNumberFormat="1" applyFont="1" applyFill="1" applyBorder="1"/>
    <xf numFmtId="168" fontId="27" fillId="0" borderId="0" xfId="54" applyNumberFormat="1" applyFont="1" applyFill="1" applyBorder="1"/>
    <xf numFmtId="0" fontId="32" fillId="0" borderId="0" xfId="54" applyFont="1" applyFill="1" applyBorder="1" applyAlignment="1">
      <alignment horizontal="left"/>
    </xf>
    <xf numFmtId="0" fontId="8" fillId="0" borderId="0" xfId="54" applyFont="1" applyFill="1" applyBorder="1" applyAlignment="1">
      <alignment horizontal="center"/>
    </xf>
    <xf numFmtId="2" fontId="32" fillId="0" borderId="0" xfId="54" applyNumberFormat="1" applyFont="1" applyFill="1" applyBorder="1" applyAlignment="1">
      <alignment horizontal="right"/>
    </xf>
    <xf numFmtId="0" fontId="74" fillId="24" borderId="0" xfId="54" applyFont="1" applyFill="1" applyBorder="1" applyAlignment="1">
      <alignment horizontal="left"/>
    </xf>
    <xf numFmtId="0" fontId="74" fillId="24" borderId="0" xfId="54" applyFont="1" applyFill="1" applyBorder="1"/>
    <xf numFmtId="0" fontId="29" fillId="0" borderId="0" xfId="54" applyFont="1" applyFill="1" applyBorder="1"/>
    <xf numFmtId="0" fontId="36" fillId="24" borderId="0" xfId="54" applyFont="1" applyFill="1" applyBorder="1"/>
    <xf numFmtId="0" fontId="10" fillId="0" borderId="0" xfId="54" applyFill="1" applyBorder="1" applyAlignment="1">
      <alignment horizontal="right"/>
    </xf>
    <xf numFmtId="0" fontId="10" fillId="0" borderId="0" xfId="54" applyFont="1" applyFill="1" applyBorder="1" applyAlignment="1">
      <alignment horizontal="right"/>
    </xf>
    <xf numFmtId="2" fontId="10" fillId="0" borderId="0" xfId="54" applyNumberFormat="1" applyFill="1" applyBorder="1"/>
    <xf numFmtId="2" fontId="10" fillId="0" borderId="0" xfId="54" applyNumberFormat="1" applyFont="1" applyFill="1" applyBorder="1" applyAlignment="1">
      <alignment horizontal="right"/>
    </xf>
    <xf numFmtId="0" fontId="8" fillId="24" borderId="0" xfId="54" applyFont="1" applyFill="1" applyBorder="1"/>
    <xf numFmtId="0" fontId="27" fillId="24" borderId="0" xfId="54" applyFont="1" applyFill="1" applyBorder="1"/>
    <xf numFmtId="0" fontId="10" fillId="24" borderId="0" xfId="54" applyFill="1" applyBorder="1"/>
    <xf numFmtId="0" fontId="59" fillId="0" borderId="0" xfId="54" applyFont="1" applyFill="1" applyBorder="1" applyAlignment="1">
      <alignment horizontal="right"/>
    </xf>
    <xf numFmtId="170" fontId="10" fillId="0" borderId="0" xfId="54" applyNumberFormat="1" applyFill="1" applyBorder="1"/>
    <xf numFmtId="0" fontId="58" fillId="0" borderId="0" xfId="54" applyFont="1" applyFill="1" applyBorder="1"/>
    <xf numFmtId="167" fontId="10" fillId="0" borderId="0" xfId="54" applyNumberFormat="1" applyFill="1" applyBorder="1"/>
    <xf numFmtId="170" fontId="59" fillId="0" borderId="0" xfId="54" applyNumberFormat="1" applyFont="1" applyFill="1" applyBorder="1"/>
    <xf numFmtId="168" fontId="10" fillId="0" borderId="0" xfId="54" applyNumberFormat="1" applyFont="1" applyFill="1" applyBorder="1"/>
    <xf numFmtId="176" fontId="10" fillId="0" borderId="0" xfId="54" applyNumberFormat="1" applyFont="1" applyFill="1" applyBorder="1"/>
    <xf numFmtId="171" fontId="10" fillId="0" borderId="0" xfId="54" applyNumberFormat="1" applyFont="1" applyFill="1" applyBorder="1" applyAlignment="1">
      <alignment horizontal="right"/>
    </xf>
    <xf numFmtId="0" fontId="77" fillId="0" borderId="0" xfId="54" applyFont="1" applyFill="1" applyBorder="1" applyAlignment="1">
      <alignment horizontal="left" indent="1"/>
    </xf>
    <xf numFmtId="0" fontId="77" fillId="0" borderId="0" xfId="54" applyFont="1" applyFill="1" applyBorder="1"/>
    <xf numFmtId="171" fontId="10" fillId="0" borderId="0" xfId="54" applyNumberFormat="1" applyFill="1" applyBorder="1"/>
    <xf numFmtId="0" fontId="10" fillId="0" borderId="0" xfId="54" applyFont="1" applyFill="1" applyBorder="1" applyAlignment="1">
      <alignment horizontal="left" indent="1"/>
    </xf>
    <xf numFmtId="0" fontId="10" fillId="0" borderId="0" xfId="54" applyFill="1" applyBorder="1" applyAlignment="1">
      <alignment horizontal="left" indent="1"/>
    </xf>
    <xf numFmtId="168" fontId="59" fillId="0" borderId="0" xfId="54" applyNumberFormat="1" applyFont="1" applyFill="1" applyBorder="1"/>
    <xf numFmtId="0" fontId="10" fillId="0" borderId="0" xfId="54" quotePrefix="1" applyFill="1" applyBorder="1"/>
    <xf numFmtId="166" fontId="30" fillId="0" borderId="0" xfId="54" applyNumberFormat="1" applyFont="1" applyFill="1" applyBorder="1"/>
    <xf numFmtId="172" fontId="10" fillId="0" borderId="0" xfId="54" applyNumberFormat="1" applyFill="1" applyBorder="1"/>
    <xf numFmtId="0" fontId="10" fillId="0" borderId="0" xfId="54" applyFont="1" applyFill="1" applyBorder="1" applyAlignment="1">
      <alignment vertical="top"/>
    </xf>
    <xf numFmtId="2" fontId="27" fillId="0" borderId="0" xfId="54" applyNumberFormat="1" applyFont="1" applyFill="1" applyBorder="1"/>
    <xf numFmtId="0" fontId="59" fillId="0" borderId="0" xfId="54" applyFont="1" applyFill="1" applyBorder="1"/>
    <xf numFmtId="0" fontId="27" fillId="0" borderId="0" xfId="54" applyFont="1" applyFill="1" applyBorder="1"/>
    <xf numFmtId="166" fontId="78" fillId="0" borderId="0" xfId="54" applyNumberFormat="1" applyFont="1" applyFill="1" applyBorder="1" applyAlignment="1">
      <alignment horizontal="center"/>
    </xf>
    <xf numFmtId="166" fontId="10" fillId="0" borderId="0" xfId="54" applyNumberFormat="1" applyFill="1" applyBorder="1" applyAlignment="1">
      <alignment horizontal="right" vertical="top"/>
    </xf>
    <xf numFmtId="0" fontId="80" fillId="0" borderId="0" xfId="54" applyFont="1" applyFill="1" applyBorder="1" applyAlignment="1">
      <alignment horizontal="center"/>
    </xf>
    <xf numFmtId="0" fontId="10" fillId="0" borderId="0" xfId="54" applyFont="1" applyFill="1" applyBorder="1" applyAlignment="1">
      <alignment horizontal="left" vertical="top" wrapText="1"/>
    </xf>
    <xf numFmtId="0" fontId="11" fillId="0" borderId="0" xfId="50" applyFill="1" applyBorder="1" applyAlignment="1" applyProtection="1">
      <alignment horizontal="center"/>
    </xf>
    <xf numFmtId="0" fontId="10" fillId="0" borderId="0" xfId="54" applyFill="1" applyBorder="1" applyAlignment="1">
      <alignment vertical="top"/>
    </xf>
    <xf numFmtId="0" fontId="59" fillId="0" borderId="0" xfId="54" applyFont="1" applyFill="1" applyBorder="1" applyAlignment="1">
      <alignment horizontal="left"/>
    </xf>
    <xf numFmtId="172" fontId="8" fillId="0" borderId="0" xfId="54" applyNumberFormat="1" applyFont="1" applyFill="1" applyBorder="1"/>
    <xf numFmtId="2" fontId="32" fillId="0" borderId="0" xfId="54" quotePrefix="1" applyNumberFormat="1" applyFont="1" applyFill="1" applyBorder="1" applyAlignment="1">
      <alignment horizontal="right"/>
    </xf>
    <xf numFmtId="2" fontId="32" fillId="0" borderId="0" xfId="54" applyNumberFormat="1" applyFont="1" applyFill="1" applyBorder="1"/>
    <xf numFmtId="0" fontId="32" fillId="0" borderId="0" xfId="54" applyFont="1" applyFill="1" applyBorder="1"/>
    <xf numFmtId="169" fontId="32" fillId="0" borderId="0" xfId="56" applyNumberFormat="1" applyFont="1" applyFill="1" applyBorder="1" applyAlignment="1">
      <alignment horizontal="center"/>
    </xf>
    <xf numFmtId="0" fontId="10" fillId="0" borderId="0" xfId="54" quotePrefix="1" applyFill="1" applyBorder="1" applyAlignment="1">
      <alignment horizontal="right"/>
    </xf>
    <xf numFmtId="0" fontId="37" fillId="0" borderId="0" xfId="54" applyFont="1" applyFill="1" applyBorder="1" applyAlignment="1">
      <alignment horizontal="right"/>
    </xf>
    <xf numFmtId="0" fontId="7" fillId="0" borderId="0" xfId="54" applyFont="1" applyFill="1" applyBorder="1"/>
    <xf numFmtId="167" fontId="59" fillId="25" borderId="4" xfId="53" applyNumberFormat="1" applyFont="1" applyFill="1" applyBorder="1"/>
    <xf numFmtId="0" fontId="135" fillId="0" borderId="101" xfId="0" applyFont="1" applyBorder="1" applyAlignment="1">
      <alignment vertical="center" wrapText="1"/>
    </xf>
    <xf numFmtId="0" fontId="135" fillId="0" borderId="79" xfId="0" applyFont="1" applyBorder="1" applyAlignment="1">
      <alignment horizontal="center" vertical="center" wrapText="1"/>
    </xf>
    <xf numFmtId="10" fontId="135" fillId="0" borderId="79" xfId="0" applyNumberFormat="1" applyFont="1" applyBorder="1" applyAlignment="1">
      <alignment horizontal="center" vertical="center" wrapText="1"/>
    </xf>
    <xf numFmtId="0" fontId="135" fillId="0" borderId="0" xfId="0" applyFont="1"/>
    <xf numFmtId="0" fontId="136" fillId="0" borderId="0" xfId="0" applyFont="1" applyAlignment="1">
      <alignment horizontal="left" vertical="center" indent="4"/>
    </xf>
    <xf numFmtId="0" fontId="135" fillId="0" borderId="0" xfId="0" applyFont="1" applyAlignment="1">
      <alignment vertical="center"/>
    </xf>
    <xf numFmtId="0" fontId="39" fillId="27" borderId="58" xfId="0" applyFont="1" applyFill="1" applyBorder="1" applyAlignment="1" applyProtection="1">
      <alignment horizontal="left"/>
      <protection locked="0"/>
    </xf>
    <xf numFmtId="0" fontId="39" fillId="27" borderId="106" xfId="0" applyFont="1" applyFill="1" applyBorder="1" applyAlignment="1" applyProtection="1">
      <alignment horizontal="left"/>
      <protection locked="0"/>
    </xf>
    <xf numFmtId="166" fontId="39" fillId="27" borderId="123" xfId="0" applyNumberFormat="1" applyFont="1" applyFill="1" applyBorder="1" applyAlignment="1" applyProtection="1">
      <alignment horizontal="center"/>
      <protection locked="0"/>
    </xf>
    <xf numFmtId="170" fontId="39" fillId="27" borderId="89" xfId="0" applyNumberFormat="1" applyFont="1" applyFill="1" applyBorder="1" applyAlignment="1" applyProtection="1">
      <alignment horizontal="center"/>
      <protection locked="0"/>
    </xf>
    <xf numFmtId="0" fontId="39" fillId="27" borderId="58" xfId="0" applyFont="1" applyFill="1" applyBorder="1" applyAlignment="1">
      <alignment horizontal="center"/>
    </xf>
    <xf numFmtId="0" fontId="134" fillId="0" borderId="0" xfId="54" applyFont="1" applyFill="1" applyBorder="1" applyAlignment="1">
      <alignment horizontal="left"/>
    </xf>
    <xf numFmtId="0" fontId="29" fillId="29" borderId="100" xfId="0" applyFont="1" applyFill="1" applyBorder="1" applyAlignment="1">
      <alignment horizontal="center"/>
    </xf>
    <xf numFmtId="2" fontId="32" fillId="29" borderId="100" xfId="0" applyNumberFormat="1" applyFont="1" applyFill="1" applyBorder="1" applyAlignment="1">
      <alignment horizontal="center"/>
    </xf>
    <xf numFmtId="0" fontId="0" fillId="29" borderId="100" xfId="0" applyFill="1" applyBorder="1"/>
    <xf numFmtId="166" fontId="32" fillId="29" borderId="100" xfId="0" applyNumberFormat="1" applyFont="1" applyFill="1" applyBorder="1" applyAlignment="1">
      <alignment horizontal="center"/>
    </xf>
    <xf numFmtId="2" fontId="10" fillId="24" borderId="100" xfId="0" applyNumberFormat="1" applyFont="1" applyFill="1" applyBorder="1" applyAlignment="1">
      <alignment horizontal="center"/>
    </xf>
    <xf numFmtId="169" fontId="10" fillId="24" borderId="100" xfId="0" applyNumberFormat="1" applyFont="1" applyFill="1" applyBorder="1" applyAlignment="1">
      <alignment horizontal="center"/>
    </xf>
    <xf numFmtId="2" fontId="8" fillId="24" borderId="100" xfId="0" applyNumberFormat="1" applyFont="1" applyFill="1" applyBorder="1" applyAlignment="1">
      <alignment horizontal="center"/>
    </xf>
    <xf numFmtId="0" fontId="30" fillId="29" borderId="100" xfId="0" applyFont="1" applyFill="1" applyBorder="1"/>
    <xf numFmtId="0" fontId="31" fillId="29" borderId="100" xfId="0" applyFont="1" applyFill="1" applyBorder="1"/>
    <xf numFmtId="9" fontId="10" fillId="24" borderId="100" xfId="0" applyNumberFormat="1" applyFont="1" applyFill="1" applyBorder="1" applyAlignment="1">
      <alignment horizontal="center"/>
    </xf>
    <xf numFmtId="169" fontId="30" fillId="29" borderId="100" xfId="0" applyNumberFormat="1" applyFont="1" applyFill="1" applyBorder="1" applyAlignment="1">
      <alignment horizontal="center"/>
    </xf>
    <xf numFmtId="9" fontId="30" fillId="29" borderId="100" xfId="0" applyNumberFormat="1" applyFont="1" applyFill="1" applyBorder="1" applyAlignment="1">
      <alignment horizontal="center"/>
    </xf>
    <xf numFmtId="0" fontId="0" fillId="23" borderId="178" xfId="0" applyFill="1" applyBorder="1" applyAlignment="1">
      <alignment horizontal="left"/>
    </xf>
    <xf numFmtId="169" fontId="4" fillId="23" borderId="179" xfId="68" quotePrefix="1" applyNumberFormat="1" applyFont="1" applyFill="1" applyBorder="1"/>
    <xf numFmtId="0" fontId="0" fillId="23" borderId="29" xfId="0" applyFill="1" applyBorder="1"/>
    <xf numFmtId="166" fontId="4" fillId="23" borderId="19" xfId="68" quotePrefix="1" applyNumberFormat="1" applyFont="1" applyFill="1" applyBorder="1" applyAlignment="1">
      <alignment horizontal="center"/>
    </xf>
    <xf numFmtId="166" fontId="56" fillId="26" borderId="0" xfId="0" applyNumberFormat="1" applyFont="1" applyFill="1" applyBorder="1" applyAlignment="1">
      <alignment horizontal="center"/>
    </xf>
    <xf numFmtId="0" fontId="8" fillId="26" borderId="19" xfId="0" applyFont="1" applyFill="1" applyBorder="1" applyAlignment="1">
      <alignment horizontal="left"/>
    </xf>
    <xf numFmtId="0" fontId="155" fillId="24" borderId="0" xfId="0" applyFont="1" applyFill="1" applyBorder="1"/>
    <xf numFmtId="2" fontId="0" fillId="24" borderId="100" xfId="0" applyNumberFormat="1" applyFill="1" applyBorder="1" applyAlignment="1">
      <alignment horizontal="right"/>
    </xf>
    <xf numFmtId="0" fontId="0" fillId="24" borderId="100" xfId="0" applyFill="1" applyBorder="1" applyAlignment="1">
      <alignment horizontal="right"/>
    </xf>
    <xf numFmtId="2" fontId="8" fillId="24" borderId="100" xfId="0" applyNumberFormat="1" applyFont="1" applyFill="1" applyBorder="1" applyAlignment="1">
      <alignment horizontal="right"/>
    </xf>
    <xf numFmtId="0" fontId="29" fillId="28" borderId="40" xfId="0" applyFont="1" applyFill="1" applyBorder="1" applyAlignment="1">
      <alignment horizontal="center"/>
    </xf>
    <xf numFmtId="0" fontId="8" fillId="24" borderId="183" xfId="0" applyFont="1" applyFill="1" applyBorder="1" applyAlignment="1">
      <alignment horizontal="center" wrapText="1"/>
    </xf>
    <xf numFmtId="0" fontId="8" fillId="24" borderId="176" xfId="0" applyFont="1" applyFill="1" applyBorder="1" applyAlignment="1">
      <alignment horizontal="center" vertical="center"/>
    </xf>
    <xf numFmtId="0" fontId="0" fillId="24" borderId="175" xfId="0" applyFill="1" applyBorder="1"/>
    <xf numFmtId="0" fontId="0" fillId="24" borderId="176" xfId="0" applyFill="1" applyBorder="1"/>
    <xf numFmtId="2" fontId="10" fillId="24" borderId="175" xfId="0" applyNumberFormat="1" applyFont="1" applyFill="1" applyBorder="1"/>
    <xf numFmtId="166" fontId="0" fillId="24" borderId="176" xfId="0" applyNumberFormat="1" applyFill="1" applyBorder="1"/>
    <xf numFmtId="166" fontId="8" fillId="24" borderId="179" xfId="0" applyNumberFormat="1" applyFont="1" applyFill="1" applyBorder="1"/>
    <xf numFmtId="2" fontId="10" fillId="24" borderId="175" xfId="0" applyNumberFormat="1" applyFont="1" applyFill="1" applyBorder="1" applyAlignment="1">
      <alignment horizontal="right"/>
    </xf>
    <xf numFmtId="2" fontId="0" fillId="24" borderId="176" xfId="0" applyNumberFormat="1" applyFill="1" applyBorder="1" applyAlignment="1">
      <alignment horizontal="right"/>
    </xf>
    <xf numFmtId="0" fontId="0" fillId="24" borderId="175" xfId="0" applyFill="1" applyBorder="1" applyAlignment="1">
      <alignment horizontal="right"/>
    </xf>
    <xf numFmtId="0" fontId="0" fillId="24" borderId="176" xfId="0" applyFill="1" applyBorder="1" applyAlignment="1">
      <alignment horizontal="right"/>
    </xf>
    <xf numFmtId="2" fontId="0" fillId="24" borderId="175" xfId="0" applyNumberFormat="1" applyFill="1" applyBorder="1" applyAlignment="1">
      <alignment horizontal="right"/>
    </xf>
    <xf numFmtId="2" fontId="8" fillId="24" borderId="175" xfId="0" applyNumberFormat="1" applyFont="1" applyFill="1" applyBorder="1" applyAlignment="1">
      <alignment horizontal="right"/>
    </xf>
    <xf numFmtId="2" fontId="8" fillId="24" borderId="176" xfId="0" applyNumberFormat="1" applyFont="1" applyFill="1" applyBorder="1" applyAlignment="1">
      <alignment horizontal="right"/>
    </xf>
    <xf numFmtId="2" fontId="8" fillId="24" borderId="175" xfId="0" applyNumberFormat="1" applyFont="1" applyFill="1" applyBorder="1" applyAlignment="1">
      <alignment horizontal="center"/>
    </xf>
    <xf numFmtId="2" fontId="8" fillId="24" borderId="176" xfId="0" applyNumberFormat="1" applyFont="1" applyFill="1" applyBorder="1" applyAlignment="1">
      <alignment horizontal="center"/>
    </xf>
    <xf numFmtId="2" fontId="32" fillId="29" borderId="179" xfId="0" applyNumberFormat="1" applyFont="1" applyFill="1" applyBorder="1" applyAlignment="1">
      <alignment horizontal="right"/>
    </xf>
    <xf numFmtId="0" fontId="8" fillId="24" borderId="175" xfId="0" applyFont="1" applyFill="1" applyBorder="1" applyAlignment="1">
      <alignment horizontal="center"/>
    </xf>
    <xf numFmtId="0" fontId="8" fillId="24" borderId="100" xfId="0" applyFont="1" applyFill="1" applyBorder="1" applyAlignment="1">
      <alignment horizontal="center"/>
    </xf>
    <xf numFmtId="0" fontId="8" fillId="24" borderId="176" xfId="0" applyFont="1" applyFill="1" applyBorder="1" applyAlignment="1">
      <alignment horizontal="center"/>
    </xf>
    <xf numFmtId="0" fontId="0" fillId="23" borderId="0" xfId="0" applyFill="1" applyBorder="1" applyAlignment="1">
      <alignment vertical="center"/>
    </xf>
    <xf numFmtId="0" fontId="10" fillId="24" borderId="0" xfId="0" applyFont="1" applyFill="1" applyBorder="1" applyAlignment="1">
      <alignment horizontal="left" vertical="top" wrapText="1"/>
    </xf>
    <xf numFmtId="2" fontId="10" fillId="24" borderId="13" xfId="0" applyNumberFormat="1" applyFont="1" applyFill="1" applyBorder="1" applyAlignment="1">
      <alignment horizontal="right"/>
    </xf>
    <xf numFmtId="0" fontId="0" fillId="23" borderId="21" xfId="0" applyFill="1" applyBorder="1"/>
    <xf numFmtId="0" fontId="0" fillId="23" borderId="22" xfId="0" applyFill="1" applyBorder="1"/>
    <xf numFmtId="0" fontId="8" fillId="24" borderId="175" xfId="0" applyFont="1" applyFill="1" applyBorder="1" applyAlignment="1">
      <alignment horizontal="center" wrapText="1"/>
    </xf>
    <xf numFmtId="0" fontId="32" fillId="29" borderId="183" xfId="0" applyFont="1" applyFill="1" applyBorder="1" applyAlignment="1">
      <alignment horizontal="center"/>
    </xf>
    <xf numFmtId="2" fontId="10" fillId="24" borderId="183" xfId="0" applyNumberFormat="1" applyFont="1" applyFill="1" applyBorder="1" applyAlignment="1">
      <alignment horizontal="right"/>
    </xf>
    <xf numFmtId="0" fontId="34" fillId="29" borderId="183" xfId="0" applyFont="1" applyFill="1" applyBorder="1" applyAlignment="1">
      <alignment horizontal="center"/>
    </xf>
    <xf numFmtId="1" fontId="56" fillId="31" borderId="185" xfId="0" applyNumberFormat="1" applyFont="1" applyFill="1" applyBorder="1" applyAlignment="1">
      <alignment horizontal="center"/>
    </xf>
    <xf numFmtId="169" fontId="4" fillId="23" borderId="24" xfId="68" quotePrefix="1" applyNumberFormat="1" applyFont="1" applyFill="1" applyBorder="1"/>
    <xf numFmtId="169" fontId="4" fillId="23" borderId="190" xfId="68" applyNumberFormat="1" applyFont="1" applyFill="1" applyBorder="1" applyAlignment="1">
      <alignment horizontal="right"/>
    </xf>
    <xf numFmtId="0" fontId="8" fillId="26" borderId="18" xfId="0" applyFont="1" applyFill="1" applyBorder="1"/>
    <xf numFmtId="0" fontId="49" fillId="26" borderId="0" xfId="0" applyFont="1" applyFill="1" applyBorder="1"/>
    <xf numFmtId="0" fontId="57" fillId="26" borderId="0" xfId="0" applyFont="1" applyFill="1" applyBorder="1"/>
    <xf numFmtId="166" fontId="31" fillId="26" borderId="0" xfId="0" applyNumberFormat="1" applyFont="1" applyFill="1" applyBorder="1"/>
    <xf numFmtId="0" fontId="36" fillId="25" borderId="19" xfId="0" applyFont="1" applyFill="1" applyBorder="1" applyAlignment="1">
      <alignment horizontal="left" vertical="center"/>
    </xf>
    <xf numFmtId="0" fontId="30" fillId="25" borderId="0" xfId="0" applyFont="1" applyFill="1" applyBorder="1" applyAlignment="1"/>
    <xf numFmtId="0" fontId="31" fillId="25" borderId="0" xfId="0" applyFont="1" applyFill="1" applyBorder="1" applyAlignment="1"/>
    <xf numFmtId="0" fontId="32" fillId="25" borderId="29" xfId="0" applyFont="1" applyFill="1" applyBorder="1" applyAlignment="1">
      <alignment horizontal="right"/>
    </xf>
    <xf numFmtId="0" fontId="8" fillId="25" borderId="29" xfId="0" applyFont="1" applyFill="1" applyBorder="1" applyAlignment="1">
      <alignment horizontal="left"/>
    </xf>
    <xf numFmtId="0" fontId="0" fillId="25" borderId="29" xfId="0" applyFill="1" applyBorder="1"/>
    <xf numFmtId="0" fontId="29" fillId="29" borderId="175" xfId="0" applyFont="1" applyFill="1" applyBorder="1" applyAlignment="1">
      <alignment horizontal="left" vertical="center"/>
    </xf>
    <xf numFmtId="0" fontId="0" fillId="30" borderId="175" xfId="0" applyFill="1" applyBorder="1" applyAlignment="1">
      <alignment vertical="center"/>
    </xf>
    <xf numFmtId="0" fontId="29" fillId="29" borderId="175" xfId="0" applyFont="1" applyFill="1" applyBorder="1" applyAlignment="1">
      <alignment vertical="center"/>
    </xf>
    <xf numFmtId="0" fontId="56" fillId="31" borderId="177" xfId="0" applyFont="1" applyFill="1" applyBorder="1"/>
    <xf numFmtId="166" fontId="56" fillId="31" borderId="178" xfId="0" applyNumberFormat="1" applyFont="1" applyFill="1" applyBorder="1" applyAlignment="1">
      <alignment horizontal="center"/>
    </xf>
    <xf numFmtId="0" fontId="57" fillId="31" borderId="178" xfId="0" applyFont="1" applyFill="1" applyBorder="1"/>
    <xf numFmtId="166" fontId="31" fillId="25" borderId="78" xfId="0" applyNumberFormat="1" applyFont="1" applyFill="1" applyBorder="1"/>
    <xf numFmtId="0" fontId="0" fillId="25" borderId="79" xfId="0" applyFill="1" applyBorder="1"/>
    <xf numFmtId="0" fontId="0" fillId="0" borderId="17" xfId="0" applyBorder="1"/>
    <xf numFmtId="0" fontId="0" fillId="0" borderId="18" xfId="0" applyBorder="1"/>
    <xf numFmtId="0" fontId="0" fillId="0" borderId="36" xfId="0" applyBorder="1"/>
    <xf numFmtId="0" fontId="155" fillId="24" borderId="0" xfId="0" applyFont="1" applyFill="1" applyBorder="1" applyAlignment="1">
      <alignment horizontal="left"/>
    </xf>
    <xf numFmtId="0" fontId="8" fillId="24" borderId="13" xfId="0" applyFont="1" applyFill="1" applyBorder="1"/>
    <xf numFmtId="0" fontId="155" fillId="24" borderId="13" xfId="0" applyFont="1" applyFill="1" applyBorder="1"/>
    <xf numFmtId="166" fontId="59" fillId="25" borderId="193" xfId="0" applyNumberFormat="1" applyFont="1" applyFill="1" applyBorder="1"/>
    <xf numFmtId="2" fontId="59" fillId="25" borderId="193" xfId="0" applyNumberFormat="1" applyFont="1" applyFill="1" applyBorder="1"/>
    <xf numFmtId="0" fontId="59" fillId="25" borderId="193" xfId="0" applyFont="1" applyFill="1" applyBorder="1"/>
    <xf numFmtId="0" fontId="0" fillId="24" borderId="13" xfId="0" applyFill="1" applyBorder="1" applyAlignment="1">
      <alignment horizontal="left"/>
    </xf>
    <xf numFmtId="0" fontId="155" fillId="24" borderId="13" xfId="0" applyFont="1" applyFill="1" applyBorder="1" applyAlignment="1">
      <alignment horizontal="left"/>
    </xf>
    <xf numFmtId="0" fontId="0" fillId="24" borderId="10" xfId="0" applyFill="1" applyBorder="1" applyAlignment="1">
      <alignment horizontal="left"/>
    </xf>
    <xf numFmtId="0" fontId="155" fillId="24" borderId="10" xfId="0" applyFont="1" applyFill="1" applyBorder="1" applyAlignment="1">
      <alignment horizontal="left"/>
    </xf>
    <xf numFmtId="167" fontId="59" fillId="25" borderId="194" xfId="69" applyNumberFormat="1" applyFont="1" applyFill="1" applyBorder="1"/>
    <xf numFmtId="169" fontId="59" fillId="25" borderId="194" xfId="0" applyNumberFormat="1" applyFont="1" applyFill="1" applyBorder="1"/>
    <xf numFmtId="167" fontId="27" fillId="24" borderId="13" xfId="0" applyNumberFormat="1" applyFont="1" applyFill="1" applyBorder="1"/>
    <xf numFmtId="167" fontId="59" fillId="25" borderId="194" xfId="0" applyNumberFormat="1" applyFont="1" applyFill="1" applyBorder="1"/>
    <xf numFmtId="0" fontId="8" fillId="24" borderId="97" xfId="0" applyFont="1" applyFill="1" applyBorder="1"/>
    <xf numFmtId="0" fontId="10" fillId="24" borderId="29" xfId="0" applyFont="1" applyFill="1" applyBorder="1"/>
    <xf numFmtId="0" fontId="155" fillId="24" borderId="97" xfId="0" applyFont="1" applyFill="1" applyBorder="1"/>
    <xf numFmtId="0" fontId="0" fillId="24" borderId="29" xfId="0" applyFill="1" applyBorder="1"/>
    <xf numFmtId="166" fontId="0" fillId="24" borderId="29" xfId="0" applyNumberFormat="1" applyFill="1" applyBorder="1"/>
    <xf numFmtId="0" fontId="0" fillId="24" borderId="97" xfId="0" applyFill="1" applyBorder="1"/>
    <xf numFmtId="0" fontId="8" fillId="24" borderId="29" xfId="0" applyFont="1" applyFill="1" applyBorder="1" applyAlignment="1">
      <alignment horizontal="right"/>
    </xf>
    <xf numFmtId="0" fontId="0" fillId="29" borderId="77" xfId="0" applyFill="1" applyBorder="1"/>
    <xf numFmtId="0" fontId="0" fillId="29" borderId="78" xfId="0" applyFill="1" applyBorder="1"/>
    <xf numFmtId="0" fontId="0" fillId="29" borderId="198" xfId="0" applyFill="1" applyBorder="1"/>
    <xf numFmtId="0" fontId="32" fillId="29" borderId="78" xfId="0" applyFont="1" applyFill="1" applyBorder="1" applyAlignment="1">
      <alignment horizontal="right"/>
    </xf>
    <xf numFmtId="0" fontId="32" fillId="29" borderId="79" xfId="0" applyFont="1" applyFill="1" applyBorder="1" applyAlignment="1">
      <alignment horizontal="right"/>
    </xf>
    <xf numFmtId="0" fontId="0" fillId="24" borderId="100" xfId="0" applyFill="1" applyBorder="1" applyAlignment="1">
      <alignment vertical="center" wrapText="1"/>
    </xf>
    <xf numFmtId="0" fontId="59" fillId="25" borderId="100" xfId="0" applyFont="1" applyFill="1" applyBorder="1"/>
    <xf numFmtId="0" fontId="0" fillId="24" borderId="13" xfId="0" applyFill="1" applyBorder="1" applyAlignment="1"/>
    <xf numFmtId="2" fontId="0" fillId="24" borderId="9" xfId="0" applyNumberFormat="1" applyFill="1" applyBorder="1"/>
    <xf numFmtId="0" fontId="155" fillId="24" borderId="0" xfId="0" applyFont="1" applyFill="1"/>
    <xf numFmtId="0" fontId="155" fillId="24" borderId="9" xfId="0" applyFont="1" applyFill="1" applyBorder="1" applyAlignment="1">
      <alignment horizontal="right"/>
    </xf>
    <xf numFmtId="0" fontId="155" fillId="24" borderId="0" xfId="0" applyFont="1" applyFill="1" applyBorder="1" applyAlignment="1">
      <alignment horizontal="right"/>
    </xf>
    <xf numFmtId="0" fontId="155" fillId="24" borderId="13" xfId="0" applyFont="1" applyFill="1" applyBorder="1" applyAlignment="1">
      <alignment horizontal="right"/>
    </xf>
    <xf numFmtId="0" fontId="8" fillId="24" borderId="16" xfId="0" applyFont="1" applyFill="1" applyBorder="1" applyAlignment="1">
      <alignment vertical="center"/>
    </xf>
    <xf numFmtId="168" fontId="59" fillId="25" borderId="16" xfId="0" applyNumberFormat="1" applyFont="1" applyFill="1" applyBorder="1" applyAlignment="1">
      <alignment vertical="center"/>
    </xf>
    <xf numFmtId="0" fontId="8" fillId="24" borderId="10" xfId="0" applyFont="1" applyFill="1" applyBorder="1" applyAlignment="1">
      <alignment horizontal="right"/>
    </xf>
    <xf numFmtId="0" fontId="32" fillId="29" borderId="22" xfId="0" applyFont="1" applyFill="1" applyBorder="1" applyAlignment="1">
      <alignment horizontal="right"/>
    </xf>
    <xf numFmtId="170" fontId="0" fillId="24" borderId="13" xfId="0" applyNumberFormat="1" applyFill="1" applyBorder="1"/>
    <xf numFmtId="2" fontId="0" fillId="23" borderId="10" xfId="0" applyNumberFormat="1" applyFill="1" applyBorder="1"/>
    <xf numFmtId="170" fontId="0" fillId="23" borderId="10" xfId="0" applyNumberFormat="1" applyFill="1" applyBorder="1"/>
    <xf numFmtId="2" fontId="8" fillId="24" borderId="10" xfId="0" applyNumberFormat="1" applyFont="1" applyFill="1" applyBorder="1"/>
    <xf numFmtId="167" fontId="0" fillId="24" borderId="15" xfId="0" applyNumberFormat="1" applyFill="1" applyBorder="1"/>
    <xf numFmtId="168" fontId="4" fillId="24" borderId="13" xfId="0" applyNumberFormat="1" applyFont="1" applyFill="1" applyBorder="1"/>
    <xf numFmtId="167" fontId="0" fillId="24" borderId="13" xfId="0" applyNumberFormat="1" applyFill="1" applyBorder="1"/>
    <xf numFmtId="177" fontId="4" fillId="24" borderId="13" xfId="0" applyNumberFormat="1" applyFont="1" applyFill="1" applyBorder="1"/>
    <xf numFmtId="168" fontId="0" fillId="24" borderId="13" xfId="0" applyNumberFormat="1" applyFill="1" applyBorder="1"/>
    <xf numFmtId="0" fontId="4" fillId="24" borderId="13" xfId="0" applyFont="1" applyFill="1" applyBorder="1"/>
    <xf numFmtId="0" fontId="155" fillId="24" borderId="13" xfId="0" applyFont="1" applyFill="1" applyBorder="1" applyAlignment="1">
      <alignment vertical="center"/>
    </xf>
    <xf numFmtId="168" fontId="59" fillId="25" borderId="194" xfId="0" applyNumberFormat="1" applyFont="1" applyFill="1" applyBorder="1"/>
    <xf numFmtId="2" fontId="27" fillId="24" borderId="13" xfId="0" applyNumberFormat="1" applyFont="1" applyFill="1" applyBorder="1"/>
    <xf numFmtId="0" fontId="10" fillId="23" borderId="13" xfId="0" applyFont="1" applyFill="1" applyBorder="1"/>
    <xf numFmtId="168" fontId="10" fillId="23" borderId="13" xfId="0" applyNumberFormat="1" applyFont="1" applyFill="1" applyBorder="1"/>
    <xf numFmtId="168" fontId="10" fillId="24" borderId="13" xfId="0" applyNumberFormat="1" applyFont="1" applyFill="1" applyBorder="1"/>
    <xf numFmtId="0" fontId="10" fillId="23" borderId="13" xfId="0" applyFont="1" applyFill="1" applyBorder="1" applyAlignment="1">
      <alignment wrapText="1"/>
    </xf>
    <xf numFmtId="0" fontId="0" fillId="23" borderId="13" xfId="0" applyFill="1" applyBorder="1" applyAlignment="1"/>
    <xf numFmtId="0" fontId="77" fillId="23" borderId="13" xfId="0" applyFont="1" applyFill="1" applyBorder="1" applyAlignment="1"/>
    <xf numFmtId="0" fontId="155" fillId="23" borderId="0" xfId="0" applyFont="1" applyFill="1" applyBorder="1"/>
    <xf numFmtId="0" fontId="77" fillId="62" borderId="13" xfId="0" applyFont="1" applyFill="1" applyBorder="1"/>
    <xf numFmtId="0" fontId="155" fillId="23" borderId="13" xfId="0" applyFont="1" applyFill="1" applyBorder="1" applyAlignment="1">
      <alignment wrapText="1"/>
    </xf>
    <xf numFmtId="0" fontId="155" fillId="23" borderId="13" xfId="0" applyFont="1" applyFill="1" applyBorder="1" applyAlignment="1"/>
    <xf numFmtId="175" fontId="0" fillId="23" borderId="9" xfId="0" applyNumberFormat="1" applyFill="1" applyBorder="1"/>
    <xf numFmtId="0" fontId="155" fillId="23" borderId="10" xfId="0" applyFont="1" applyFill="1" applyBorder="1"/>
    <xf numFmtId="175" fontId="0" fillId="23" borderId="20" xfId="0" applyNumberFormat="1" applyFill="1" applyBorder="1"/>
    <xf numFmtId="175" fontId="0" fillId="23" borderId="21" xfId="0" applyNumberFormat="1" applyFill="1" applyBorder="1"/>
    <xf numFmtId="0" fontId="155" fillId="23" borderId="22" xfId="0" applyFont="1" applyFill="1" applyBorder="1"/>
    <xf numFmtId="0" fontId="0" fillId="23" borderId="9" xfId="0" applyFill="1" applyBorder="1" applyAlignment="1">
      <alignment horizontal="right"/>
    </xf>
    <xf numFmtId="0" fontId="0" fillId="23" borderId="10" xfId="0" applyFill="1" applyBorder="1" applyAlignment="1">
      <alignment horizontal="right"/>
    </xf>
    <xf numFmtId="0" fontId="155" fillId="23" borderId="10" xfId="0" applyFont="1" applyFill="1" applyBorder="1" applyAlignment="1">
      <alignment horizontal="right"/>
    </xf>
    <xf numFmtId="0" fontId="155" fillId="23" borderId="13" xfId="0" applyFont="1" applyFill="1" applyBorder="1"/>
    <xf numFmtId="2" fontId="8" fillId="23" borderId="13" xfId="0" applyNumberFormat="1" applyFont="1" applyFill="1" applyBorder="1"/>
    <xf numFmtId="0" fontId="0" fillId="23" borderId="16" xfId="0" applyFill="1" applyBorder="1"/>
    <xf numFmtId="171" fontId="0" fillId="24" borderId="10" xfId="0" applyNumberFormat="1" applyFill="1" applyBorder="1"/>
    <xf numFmtId="2" fontId="10" fillId="24" borderId="10" xfId="0" applyNumberFormat="1" applyFont="1" applyFill="1" applyBorder="1" applyAlignment="1">
      <alignment horizontal="right"/>
    </xf>
    <xf numFmtId="2" fontId="0" fillId="24" borderId="10" xfId="0" applyNumberFormat="1" applyFill="1" applyBorder="1"/>
    <xf numFmtId="2" fontId="32" fillId="29" borderId="0" xfId="0" applyNumberFormat="1" applyFont="1" applyFill="1" applyBorder="1" applyAlignment="1">
      <alignment horizontal="right"/>
    </xf>
    <xf numFmtId="168" fontId="60" fillId="25" borderId="194" xfId="0" applyNumberFormat="1" applyFont="1" applyFill="1" applyBorder="1"/>
    <xf numFmtId="0" fontId="60" fillId="25" borderId="194" xfId="0" applyFont="1" applyFill="1" applyBorder="1"/>
    <xf numFmtId="0" fontId="8" fillId="24" borderId="199" xfId="0" applyFont="1" applyFill="1" applyBorder="1" applyAlignment="1">
      <alignment horizontal="center"/>
    </xf>
    <xf numFmtId="0" fontId="155" fillId="24" borderId="35" xfId="0" applyFont="1" applyFill="1" applyBorder="1" applyAlignment="1">
      <alignment horizontal="center"/>
    </xf>
    <xf numFmtId="0" fontId="0" fillId="24" borderId="35" xfId="0" applyFill="1" applyBorder="1"/>
    <xf numFmtId="2" fontId="8" fillId="24" borderId="185" xfId="0" applyNumberFormat="1" applyFont="1" applyFill="1" applyBorder="1"/>
    <xf numFmtId="2" fontId="10" fillId="24" borderId="35" xfId="0" applyNumberFormat="1" applyFont="1" applyFill="1" applyBorder="1"/>
    <xf numFmtId="0" fontId="155" fillId="24" borderId="10" xfId="0" applyFont="1" applyFill="1" applyBorder="1" applyAlignment="1">
      <alignment horizontal="right"/>
    </xf>
    <xf numFmtId="169" fontId="38" fillId="29" borderId="22" xfId="68" applyNumberFormat="1" applyFont="1" applyFill="1" applyBorder="1" applyAlignment="1">
      <alignment horizontal="right"/>
    </xf>
    <xf numFmtId="2" fontId="155" fillId="24" borderId="0" xfId="0" applyNumberFormat="1" applyFont="1" applyFill="1" applyBorder="1" applyAlignment="1">
      <alignment horizontal="right"/>
    </xf>
    <xf numFmtId="0" fontId="11" fillId="0" borderId="18" xfId="66" applyBorder="1" applyAlignment="1" applyProtection="1"/>
    <xf numFmtId="0" fontId="155" fillId="24" borderId="100" xfId="0" applyFont="1" applyFill="1" applyBorder="1" applyAlignment="1">
      <alignment horizontal="center" vertical="center"/>
    </xf>
    <xf numFmtId="0" fontId="155" fillId="24" borderId="16" xfId="0" applyFont="1" applyFill="1" applyBorder="1" applyAlignment="1">
      <alignment horizontal="center" vertical="center"/>
    </xf>
    <xf numFmtId="0" fontId="0" fillId="23" borderId="0" xfId="0" applyFill="1" applyBorder="1" applyAlignment="1">
      <alignment vertical="center"/>
    </xf>
    <xf numFmtId="0" fontId="0" fillId="24" borderId="0" xfId="0" applyFill="1" applyBorder="1" applyAlignment="1">
      <alignment vertical="top" wrapText="1"/>
    </xf>
    <xf numFmtId="0" fontId="0" fillId="24" borderId="10" xfId="0" applyFill="1" applyBorder="1" applyAlignment="1">
      <alignment vertical="top" wrapText="1"/>
    </xf>
    <xf numFmtId="2" fontId="10" fillId="24" borderId="13" xfId="0" applyNumberFormat="1" applyFont="1" applyFill="1" applyBorder="1" applyAlignment="1">
      <alignment horizontal="right"/>
    </xf>
    <xf numFmtId="1" fontId="56" fillId="26" borderId="0" xfId="0" applyNumberFormat="1" applyFont="1" applyFill="1" applyBorder="1" applyAlignment="1">
      <alignment horizontal="center"/>
    </xf>
    <xf numFmtId="2" fontId="56" fillId="26" borderId="29" xfId="0" applyNumberFormat="1" applyFont="1" applyFill="1" applyBorder="1" applyAlignment="1">
      <alignment horizontal="center"/>
    </xf>
    <xf numFmtId="0" fontId="29" fillId="29" borderId="19" xfId="0" applyFont="1" applyFill="1" applyBorder="1" applyAlignment="1">
      <alignment horizontal="left"/>
    </xf>
    <xf numFmtId="0" fontId="0" fillId="30" borderId="19" xfId="0" applyFill="1" applyBorder="1"/>
    <xf numFmtId="0" fontId="4" fillId="23" borderId="30" xfId="0" applyFont="1" applyFill="1" applyBorder="1"/>
    <xf numFmtId="2" fontId="30" fillId="25" borderId="29" xfId="0" applyNumberFormat="1" applyFont="1" applyFill="1" applyBorder="1" applyAlignment="1">
      <alignment horizontal="right"/>
    </xf>
    <xf numFmtId="2" fontId="32" fillId="25" borderId="29" xfId="0" applyNumberFormat="1" applyFont="1" applyFill="1" applyBorder="1" applyAlignment="1">
      <alignment horizontal="center"/>
    </xf>
    <xf numFmtId="2" fontId="10" fillId="25" borderId="29" xfId="0" applyNumberFormat="1" applyFont="1" applyFill="1" applyBorder="1" applyAlignment="1">
      <alignment horizontal="right"/>
    </xf>
    <xf numFmtId="0" fontId="29" fillId="29" borderId="19" xfId="0" applyFont="1" applyFill="1" applyBorder="1"/>
    <xf numFmtId="1" fontId="34" fillId="25" borderId="29" xfId="0" applyNumberFormat="1" applyFont="1" applyFill="1" applyBorder="1" applyAlignment="1">
      <alignment horizontal="center"/>
    </xf>
    <xf numFmtId="166" fontId="56" fillId="31" borderId="78" xfId="0" applyNumberFormat="1" applyFont="1" applyFill="1" applyBorder="1" applyAlignment="1">
      <alignment horizontal="center"/>
    </xf>
    <xf numFmtId="0" fontId="57" fillId="31" borderId="78" xfId="0" applyFont="1" applyFill="1" applyBorder="1"/>
    <xf numFmtId="0" fontId="35" fillId="31" borderId="78" xfId="0" applyFont="1" applyFill="1" applyBorder="1"/>
    <xf numFmtId="166" fontId="56" fillId="31" borderId="200" xfId="0" applyNumberFormat="1" applyFont="1" applyFill="1" applyBorder="1" applyAlignment="1">
      <alignment horizontal="center"/>
    </xf>
    <xf numFmtId="1" fontId="56" fillId="31" borderId="200" xfId="0" applyNumberFormat="1" applyFont="1" applyFill="1" applyBorder="1" applyAlignment="1">
      <alignment horizontal="center"/>
    </xf>
    <xf numFmtId="0" fontId="0" fillId="25" borderId="78" xfId="0" applyFill="1" applyBorder="1"/>
    <xf numFmtId="2" fontId="56" fillId="25" borderId="79" xfId="0" applyNumberFormat="1" applyFont="1" applyFill="1" applyBorder="1" applyAlignment="1">
      <alignment horizontal="center"/>
    </xf>
    <xf numFmtId="2" fontId="10" fillId="24" borderId="9" xfId="0" applyNumberFormat="1" applyFont="1" applyFill="1" applyBorder="1" applyAlignment="1">
      <alignment horizontal="right"/>
    </xf>
    <xf numFmtId="2" fontId="0" fillId="24" borderId="9" xfId="0" applyNumberFormat="1" applyFill="1" applyBorder="1" applyAlignment="1">
      <alignment horizontal="right"/>
    </xf>
    <xf numFmtId="0" fontId="0" fillId="24" borderId="9" xfId="0" applyFill="1" applyBorder="1" applyAlignment="1">
      <alignment horizontal="right"/>
    </xf>
    <xf numFmtId="2" fontId="8" fillId="24" borderId="9" xfId="0" applyNumberFormat="1" applyFont="1" applyFill="1" applyBorder="1" applyAlignment="1">
      <alignment horizontal="right"/>
    </xf>
    <xf numFmtId="2" fontId="8" fillId="24" borderId="9" xfId="0" applyNumberFormat="1" applyFont="1" applyFill="1" applyBorder="1" applyAlignment="1">
      <alignment horizontal="center"/>
    </xf>
    <xf numFmtId="0" fontId="0" fillId="29" borderId="20" xfId="0" applyFill="1" applyBorder="1" applyAlignment="1">
      <alignment horizontal="center"/>
    </xf>
    <xf numFmtId="0" fontId="155" fillId="24" borderId="9" xfId="0" applyFont="1" applyFill="1" applyBorder="1" applyAlignment="1">
      <alignment horizontal="center"/>
    </xf>
    <xf numFmtId="0" fontId="155" fillId="24" borderId="13" xfId="0" applyFont="1" applyFill="1" applyBorder="1" applyAlignment="1">
      <alignment horizontal="center"/>
    </xf>
    <xf numFmtId="0" fontId="157" fillId="24" borderId="11" xfId="0" applyFont="1" applyFill="1" applyBorder="1" applyAlignment="1">
      <alignment horizontal="left"/>
    </xf>
    <xf numFmtId="2" fontId="8" fillId="24" borderId="100" xfId="0" applyNumberFormat="1" applyFont="1" applyFill="1" applyBorder="1"/>
    <xf numFmtId="166" fontId="8" fillId="24" borderId="100" xfId="0" applyNumberFormat="1" applyFont="1" applyFill="1" applyBorder="1"/>
    <xf numFmtId="0" fontId="155" fillId="24" borderId="9" xfId="0" applyFont="1" applyFill="1" applyBorder="1"/>
    <xf numFmtId="0" fontId="155" fillId="24" borderId="100" xfId="0" applyFont="1" applyFill="1" applyBorder="1"/>
    <xf numFmtId="0" fontId="8" fillId="24" borderId="100" xfId="0" applyFont="1" applyFill="1" applyBorder="1"/>
    <xf numFmtId="0" fontId="0" fillId="24" borderId="100" xfId="0" applyFill="1" applyBorder="1"/>
    <xf numFmtId="0" fontId="8" fillId="24" borderId="13" xfId="0" applyFont="1" applyFill="1" applyBorder="1" applyAlignment="1">
      <alignment horizontal="right"/>
    </xf>
    <xf numFmtId="168" fontId="27" fillId="24" borderId="13" xfId="0" applyNumberFormat="1" applyFont="1" applyFill="1" applyBorder="1"/>
    <xf numFmtId="0" fontId="59" fillId="25" borderId="194" xfId="0" applyFont="1" applyFill="1" applyBorder="1"/>
    <xf numFmtId="168" fontId="59" fillId="25" borderId="202" xfId="0" applyNumberFormat="1" applyFont="1" applyFill="1" applyBorder="1"/>
    <xf numFmtId="0" fontId="0" fillId="24" borderId="14" xfId="0" applyFill="1" applyBorder="1"/>
    <xf numFmtId="173" fontId="0" fillId="24" borderId="10" xfId="0" applyNumberFormat="1" applyFill="1" applyBorder="1"/>
    <xf numFmtId="0" fontId="8" fillId="29" borderId="22" xfId="0" applyFont="1" applyFill="1" applyBorder="1" applyAlignment="1">
      <alignment horizontal="right"/>
    </xf>
    <xf numFmtId="170" fontId="0" fillId="23" borderId="13" xfId="0" applyNumberFormat="1" applyFill="1" applyBorder="1"/>
    <xf numFmtId="2" fontId="59" fillId="25" borderId="100" xfId="0" applyNumberFormat="1" applyFont="1" applyFill="1" applyBorder="1"/>
    <xf numFmtId="168" fontId="59" fillId="25" borderId="100" xfId="0" applyNumberFormat="1" applyFont="1" applyFill="1" applyBorder="1"/>
    <xf numFmtId="0" fontId="0" fillId="24" borderId="100" xfId="0" applyFill="1" applyBorder="1" applyAlignment="1">
      <alignment vertical="center"/>
    </xf>
    <xf numFmtId="2" fontId="0" fillId="23" borderId="9" xfId="0" applyNumberFormat="1" applyFill="1" applyBorder="1"/>
    <xf numFmtId="2" fontId="8" fillId="24" borderId="9" xfId="0" applyNumberFormat="1" applyFont="1" applyFill="1" applyBorder="1"/>
    <xf numFmtId="0" fontId="0" fillId="23" borderId="9" xfId="0" applyFill="1" applyBorder="1" applyAlignment="1">
      <alignment horizontal="left"/>
    </xf>
    <xf numFmtId="168" fontId="59" fillId="25" borderId="204" xfId="0" applyNumberFormat="1" applyFont="1" applyFill="1" applyBorder="1" applyAlignment="1">
      <alignment vertical="center"/>
    </xf>
    <xf numFmtId="0" fontId="155" fillId="24" borderId="100" xfId="0" applyFont="1" applyFill="1" applyBorder="1" applyAlignment="1">
      <alignment wrapText="1"/>
    </xf>
    <xf numFmtId="0" fontId="155" fillId="24" borderId="100" xfId="0" applyFont="1" applyFill="1" applyBorder="1" applyAlignment="1">
      <alignment vertical="center"/>
    </xf>
    <xf numFmtId="0" fontId="77" fillId="63" borderId="0" xfId="0" applyFont="1" applyFill="1" applyBorder="1"/>
    <xf numFmtId="0" fontId="155" fillId="63" borderId="16" xfId="0" applyFont="1" applyFill="1" applyBorder="1" applyAlignment="1">
      <alignment vertical="center" wrapText="1"/>
    </xf>
    <xf numFmtId="0" fontId="155" fillId="63" borderId="100" xfId="0" applyFont="1" applyFill="1" applyBorder="1" applyAlignment="1"/>
    <xf numFmtId="0" fontId="0" fillId="63" borderId="100" xfId="0" applyFill="1" applyBorder="1"/>
    <xf numFmtId="0" fontId="0" fillId="63" borderId="9" xfId="0" applyFill="1" applyBorder="1"/>
    <xf numFmtId="0" fontId="77" fillId="63" borderId="0" xfId="0" applyFont="1" applyFill="1" applyBorder="1" applyAlignment="1">
      <alignment horizontal="left" indent="1"/>
    </xf>
    <xf numFmtId="0" fontId="10" fillId="63" borderId="0" xfId="0" applyFont="1" applyFill="1" applyBorder="1"/>
    <xf numFmtId="0" fontId="10" fillId="63" borderId="13" xfId="0" applyFont="1" applyFill="1" applyBorder="1"/>
    <xf numFmtId="0" fontId="10" fillId="63" borderId="16" xfId="0" applyFont="1" applyFill="1" applyBorder="1" applyAlignment="1">
      <alignment horizontal="left" wrapText="1" indent="1"/>
    </xf>
    <xf numFmtId="168" fontId="10" fillId="63" borderId="9" xfId="0" applyNumberFormat="1" applyFont="1" applyFill="1" applyBorder="1"/>
    <xf numFmtId="0" fontId="0" fillId="63" borderId="100" xfId="0" applyFill="1" applyBorder="1" applyAlignment="1">
      <alignment horizontal="left" indent="1"/>
    </xf>
    <xf numFmtId="168" fontId="59" fillId="63" borderId="204" xfId="0" applyNumberFormat="1" applyFont="1" applyFill="1" applyBorder="1"/>
    <xf numFmtId="0" fontId="0" fillId="63" borderId="0" xfId="0" applyFill="1" applyBorder="1" applyAlignment="1">
      <alignment horizontal="left" indent="1"/>
    </xf>
    <xf numFmtId="168" fontId="10" fillId="63" borderId="0" xfId="0" applyNumberFormat="1" applyFont="1" applyFill="1" applyBorder="1"/>
    <xf numFmtId="0" fontId="0" fillId="63" borderId="0" xfId="0" applyFill="1" applyBorder="1"/>
    <xf numFmtId="167" fontId="0" fillId="23" borderId="13" xfId="0" applyNumberFormat="1" applyFill="1" applyBorder="1"/>
    <xf numFmtId="0" fontId="155" fillId="23" borderId="10" xfId="0" applyFont="1" applyFill="1" applyBorder="1" applyAlignment="1"/>
    <xf numFmtId="0" fontId="0" fillId="23" borderId="0" xfId="0" applyFill="1" applyBorder="1" applyAlignment="1">
      <alignment horizontal="left" vertical="center"/>
    </xf>
    <xf numFmtId="167" fontId="0" fillId="23" borderId="13" xfId="0" applyNumberFormat="1" applyFill="1" applyBorder="1" applyAlignment="1">
      <alignment vertical="center"/>
    </xf>
    <xf numFmtId="167" fontId="0" fillId="23" borderId="0" xfId="0" applyNumberFormat="1" applyFill="1" applyBorder="1" applyAlignment="1">
      <alignment vertical="center"/>
    </xf>
    <xf numFmtId="0" fontId="155" fillId="23" borderId="0" xfId="0" applyFont="1" applyFill="1" applyBorder="1" applyAlignment="1">
      <alignment vertical="center"/>
    </xf>
    <xf numFmtId="0" fontId="0" fillId="23" borderId="13" xfId="0" applyFill="1" applyBorder="1" applyAlignment="1">
      <alignment horizontal="right"/>
    </xf>
    <xf numFmtId="0" fontId="0" fillId="23" borderId="13" xfId="0" applyFill="1" applyBorder="1" applyAlignment="1">
      <alignment horizontal="right" vertical="center"/>
    </xf>
    <xf numFmtId="0" fontId="155" fillId="23" borderId="10" xfId="0" applyFont="1" applyFill="1" applyBorder="1" applyAlignment="1">
      <alignment vertical="center"/>
    </xf>
    <xf numFmtId="0" fontId="8" fillId="23" borderId="13" xfId="0" applyFont="1" applyFill="1" applyBorder="1" applyAlignment="1">
      <alignment horizontal="right"/>
    </xf>
    <xf numFmtId="2" fontId="0" fillId="23" borderId="0" xfId="0" applyNumberFormat="1" applyFill="1" applyBorder="1" applyAlignment="1">
      <alignment vertical="center"/>
    </xf>
    <xf numFmtId="0" fontId="30" fillId="29" borderId="22" xfId="0" applyFont="1" applyFill="1" applyBorder="1"/>
    <xf numFmtId="168" fontId="60" fillId="25" borderId="203" xfId="0" applyNumberFormat="1" applyFont="1" applyFill="1" applyBorder="1"/>
    <xf numFmtId="0" fontId="60" fillId="25" borderId="203" xfId="0" applyFont="1" applyFill="1" applyBorder="1"/>
    <xf numFmtId="0" fontId="60" fillId="25" borderId="203" xfId="0" applyFont="1" applyFill="1" applyBorder="1" applyAlignment="1">
      <alignment horizontal="right"/>
    </xf>
    <xf numFmtId="0" fontId="27" fillId="24" borderId="9" xfId="0" applyFont="1" applyFill="1" applyBorder="1"/>
    <xf numFmtId="0" fontId="0" fillId="24" borderId="9" xfId="0" applyFill="1" applyBorder="1" applyAlignment="1">
      <alignment horizontal="left"/>
    </xf>
    <xf numFmtId="0" fontId="27" fillId="25" borderId="0" xfId="0" applyFont="1" applyFill="1" applyBorder="1" applyAlignment="1">
      <alignment horizontal="right"/>
    </xf>
    <xf numFmtId="0" fontId="29" fillId="28" borderId="0" xfId="0" applyFont="1" applyFill="1" applyBorder="1"/>
    <xf numFmtId="0" fontId="0" fillId="29" borderId="20" xfId="0" applyFill="1" applyBorder="1" applyAlignment="1">
      <alignment horizontal="center" vertical="center"/>
    </xf>
    <xf numFmtId="0" fontId="32" fillId="29" borderId="21" xfId="0" applyFont="1" applyFill="1" applyBorder="1" applyAlignment="1">
      <alignment horizontal="center" vertical="center"/>
    </xf>
    <xf numFmtId="0" fontId="8" fillId="29" borderId="21" xfId="0" applyFont="1" applyFill="1" applyBorder="1" applyAlignment="1">
      <alignment horizontal="center" vertical="center"/>
    </xf>
    <xf numFmtId="0" fontId="8" fillId="24" borderId="9" xfId="0" applyFont="1" applyFill="1" applyBorder="1" applyAlignment="1">
      <alignment horizontal="left"/>
    </xf>
    <xf numFmtId="0" fontId="157" fillId="24" borderId="11" xfId="0" applyFont="1" applyFill="1" applyBorder="1" applyAlignment="1">
      <alignment horizontal="left"/>
    </xf>
    <xf numFmtId="2" fontId="10" fillId="24" borderId="13" xfId="0" applyNumberFormat="1" applyFont="1" applyFill="1" applyBorder="1" applyAlignment="1">
      <alignment horizontal="right"/>
    </xf>
    <xf numFmtId="0" fontId="30" fillId="28" borderId="21" xfId="0" applyFont="1" applyFill="1" applyBorder="1"/>
    <xf numFmtId="0" fontId="36" fillId="25" borderId="77" xfId="0" applyFont="1" applyFill="1" applyBorder="1" applyAlignment="1">
      <alignment vertical="center"/>
    </xf>
    <xf numFmtId="0" fontId="0" fillId="0" borderId="78" xfId="0" applyBorder="1"/>
    <xf numFmtId="0" fontId="155" fillId="26" borderId="77" xfId="0" applyFont="1" applyFill="1" applyBorder="1" applyAlignment="1">
      <alignment horizontal="left" vertical="top"/>
    </xf>
    <xf numFmtId="0" fontId="8" fillId="26" borderId="78" xfId="0" applyFont="1" applyFill="1" applyBorder="1" applyAlignment="1">
      <alignment horizontal="center"/>
    </xf>
    <xf numFmtId="166" fontId="8" fillId="26" borderId="78" xfId="0" applyNumberFormat="1" applyFont="1" applyFill="1" applyBorder="1" applyAlignment="1">
      <alignment horizontal="center"/>
    </xf>
    <xf numFmtId="166" fontId="8" fillId="26" borderId="78" xfId="0" applyNumberFormat="1" applyFont="1" applyFill="1" applyBorder="1" applyAlignment="1">
      <alignment horizontal="right"/>
    </xf>
    <xf numFmtId="0" fontId="8" fillId="64" borderId="97" xfId="0" applyFont="1" applyFill="1" applyBorder="1"/>
    <xf numFmtId="0" fontId="155" fillId="64" borderId="97" xfId="0" applyFont="1" applyFill="1" applyBorder="1"/>
    <xf numFmtId="0" fontId="0" fillId="64" borderId="9" xfId="0" applyFill="1" applyBorder="1"/>
    <xf numFmtId="0" fontId="0" fillId="64" borderId="10" xfId="0" applyFill="1" applyBorder="1"/>
    <xf numFmtId="167" fontId="59" fillId="0" borderId="13" xfId="0" applyNumberFormat="1" applyFont="1" applyFill="1" applyBorder="1"/>
    <xf numFmtId="166" fontId="59" fillId="25" borderId="194" xfId="0" applyNumberFormat="1" applyFont="1" applyFill="1" applyBorder="1"/>
    <xf numFmtId="1" fontId="59" fillId="25" borderId="194" xfId="0" applyNumberFormat="1" applyFont="1" applyFill="1" applyBorder="1"/>
    <xf numFmtId="166" fontId="27" fillId="24" borderId="13" xfId="0" applyNumberFormat="1" applyFont="1" applyFill="1" applyBorder="1"/>
    <xf numFmtId="2" fontId="59" fillId="25" borderId="194" xfId="0" applyNumberFormat="1" applyFont="1" applyFill="1" applyBorder="1"/>
    <xf numFmtId="0" fontId="32" fillId="29" borderId="100" xfId="0" applyFont="1" applyFill="1" applyBorder="1" applyAlignment="1">
      <alignment horizontal="right"/>
    </xf>
    <xf numFmtId="2" fontId="32" fillId="29" borderId="100" xfId="0" applyNumberFormat="1" applyFont="1" applyFill="1" applyBorder="1" applyAlignment="1">
      <alignment horizontal="right"/>
    </xf>
    <xf numFmtId="0" fontId="8" fillId="24" borderId="100" xfId="0" applyFont="1" applyFill="1" applyBorder="1" applyAlignment="1">
      <alignment horizontal="right"/>
    </xf>
    <xf numFmtId="0" fontId="155" fillId="24" borderId="10" xfId="0" applyFont="1" applyFill="1" applyBorder="1"/>
    <xf numFmtId="0" fontId="0" fillId="24" borderId="10" xfId="0" applyFill="1" applyBorder="1" applyAlignment="1">
      <alignment vertical="center" wrapText="1"/>
    </xf>
    <xf numFmtId="0" fontId="0" fillId="24" borderId="0" xfId="0" applyFill="1" applyBorder="1" applyAlignment="1">
      <alignment horizontal="left" vertical="center"/>
    </xf>
    <xf numFmtId="0" fontId="32" fillId="29" borderId="100" xfId="0" applyFont="1" applyFill="1" applyBorder="1" applyAlignment="1">
      <alignment horizontal="left"/>
    </xf>
    <xf numFmtId="0" fontId="8" fillId="29" borderId="100" xfId="0" applyFont="1" applyFill="1" applyBorder="1" applyAlignment="1">
      <alignment horizontal="right"/>
    </xf>
    <xf numFmtId="0" fontId="0" fillId="29" borderId="25" xfId="0" applyFill="1" applyBorder="1"/>
    <xf numFmtId="0" fontId="0" fillId="24" borderId="20" xfId="0" applyFill="1" applyBorder="1" applyAlignment="1">
      <alignment horizontal="right"/>
    </xf>
    <xf numFmtId="0" fontId="0" fillId="24" borderId="16" xfId="0" applyFill="1" applyBorder="1" applyAlignment="1">
      <alignment horizontal="right"/>
    </xf>
    <xf numFmtId="170" fontId="0" fillId="23" borderId="9" xfId="0" applyNumberFormat="1" applyFill="1" applyBorder="1"/>
    <xf numFmtId="0" fontId="155" fillId="24" borderId="16" xfId="0" applyFont="1" applyFill="1" applyBorder="1" applyAlignment="1">
      <alignment horizontal="right"/>
    </xf>
    <xf numFmtId="0" fontId="155" fillId="63" borderId="0" xfId="0" applyFont="1" applyFill="1" applyBorder="1" applyAlignment="1">
      <alignment vertical="center" wrapText="1"/>
    </xf>
    <xf numFmtId="0" fontId="155" fillId="63" borderId="0" xfId="0" applyFont="1" applyFill="1" applyBorder="1" applyAlignment="1"/>
    <xf numFmtId="0" fontId="4" fillId="24" borderId="0" xfId="0" applyFont="1" applyFill="1" applyBorder="1" applyAlignment="1">
      <alignment vertical="center"/>
    </xf>
    <xf numFmtId="168" fontId="4" fillId="24" borderId="0" xfId="0" applyNumberFormat="1" applyFont="1" applyFill="1" applyBorder="1"/>
    <xf numFmtId="177" fontId="4" fillId="24" borderId="0" xfId="0" applyNumberFormat="1" applyFont="1" applyFill="1" applyBorder="1"/>
    <xf numFmtId="168" fontId="59" fillId="25" borderId="194" xfId="0" applyNumberFormat="1" applyFont="1" applyFill="1" applyBorder="1" applyAlignment="1">
      <alignment vertical="center"/>
    </xf>
    <xf numFmtId="0" fontId="155" fillId="24" borderId="10" xfId="0" applyFont="1" applyFill="1" applyBorder="1" applyAlignment="1">
      <alignment vertical="center" wrapText="1"/>
    </xf>
    <xf numFmtId="0" fontId="4" fillId="24" borderId="10" xfId="0" applyFont="1" applyFill="1" applyBorder="1"/>
    <xf numFmtId="0" fontId="8" fillId="24" borderId="10" xfId="0" applyFont="1" applyFill="1" applyBorder="1"/>
    <xf numFmtId="0" fontId="155" fillId="24" borderId="10" xfId="0" applyFont="1" applyFill="1" applyBorder="1" applyAlignment="1">
      <alignment vertical="center"/>
    </xf>
    <xf numFmtId="0" fontId="155" fillId="24" borderId="10" xfId="0" applyFont="1" applyFill="1" applyBorder="1" applyAlignment="1">
      <alignment wrapText="1"/>
    </xf>
    <xf numFmtId="0" fontId="77" fillId="63" borderId="10" xfId="0" applyFont="1" applyFill="1" applyBorder="1"/>
    <xf numFmtId="0" fontId="77" fillId="63" borderId="0" xfId="0" applyFont="1" applyFill="1" applyBorder="1" applyAlignment="1"/>
    <xf numFmtId="168" fontId="10" fillId="63" borderId="13" xfId="0" applyNumberFormat="1" applyFont="1" applyFill="1" applyBorder="1"/>
    <xf numFmtId="168" fontId="59" fillId="63" borderId="194" xfId="0" applyNumberFormat="1" applyFont="1" applyFill="1" applyBorder="1"/>
    <xf numFmtId="0" fontId="0" fillId="24" borderId="13" xfId="0" applyFill="1" applyBorder="1" applyAlignment="1">
      <alignment vertical="center"/>
    </xf>
    <xf numFmtId="0" fontId="0" fillId="63" borderId="13" xfId="0" applyFill="1" applyBorder="1"/>
    <xf numFmtId="0" fontId="0" fillId="29" borderId="100" xfId="0" applyFill="1" applyBorder="1" applyAlignment="1">
      <alignment horizontal="center"/>
    </xf>
    <xf numFmtId="0" fontId="32" fillId="29" borderId="100" xfId="0" applyFont="1" applyFill="1" applyBorder="1" applyAlignment="1">
      <alignment horizontal="center"/>
    </xf>
    <xf numFmtId="0" fontId="8" fillId="29" borderId="100" xfId="0" applyFont="1" applyFill="1" applyBorder="1" applyAlignment="1">
      <alignment horizontal="center"/>
    </xf>
    <xf numFmtId="0" fontId="155" fillId="23" borderId="9" xfId="0" applyFont="1" applyFill="1" applyBorder="1" applyAlignment="1"/>
    <xf numFmtId="0" fontId="159" fillId="63" borderId="0" xfId="0" applyFont="1" applyFill="1" applyBorder="1"/>
    <xf numFmtId="0" fontId="10" fillId="63" borderId="13" xfId="0" applyFont="1" applyFill="1" applyBorder="1" applyAlignment="1">
      <alignment vertical="center"/>
    </xf>
    <xf numFmtId="0" fontId="0" fillId="63" borderId="13" xfId="0" applyFill="1" applyBorder="1" applyAlignment="1"/>
    <xf numFmtId="0" fontId="0" fillId="63" borderId="13" xfId="0" applyFill="1" applyBorder="1" applyAlignment="1">
      <alignment horizontal="left" indent="1"/>
    </xf>
    <xf numFmtId="0" fontId="0" fillId="29" borderId="23" xfId="0" applyFill="1" applyBorder="1"/>
    <xf numFmtId="0" fontId="32" fillId="29" borderId="25" xfId="0" applyFont="1" applyFill="1" applyBorder="1" applyAlignment="1">
      <alignment horizontal="left"/>
    </xf>
    <xf numFmtId="0" fontId="32" fillId="29" borderId="23" xfId="0" applyFont="1" applyFill="1" applyBorder="1" applyAlignment="1">
      <alignment horizontal="right"/>
    </xf>
    <xf numFmtId="0" fontId="30" fillId="29" borderId="24" xfId="0" applyFont="1" applyFill="1" applyBorder="1"/>
    <xf numFmtId="0" fontId="32" fillId="29" borderId="23" xfId="0" applyFont="1" applyFill="1" applyBorder="1" applyAlignment="1">
      <alignment horizontal="left"/>
    </xf>
    <xf numFmtId="0" fontId="30" fillId="29" borderId="23" xfId="0" applyFont="1" applyFill="1" applyBorder="1"/>
    <xf numFmtId="0" fontId="8" fillId="23" borderId="16" xfId="0" applyFont="1" applyFill="1" applyBorder="1" applyAlignment="1">
      <alignment horizontal="right"/>
    </xf>
    <xf numFmtId="167" fontId="0" fillId="23" borderId="16" xfId="0" applyNumberFormat="1" applyFill="1" applyBorder="1"/>
    <xf numFmtId="0" fontId="155" fillId="23" borderId="10" xfId="0" applyFont="1" applyFill="1" applyBorder="1" applyAlignment="1">
      <alignment horizontal="center"/>
    </xf>
    <xf numFmtId="0" fontId="155" fillId="23" borderId="10" xfId="0" applyFont="1" applyFill="1" applyBorder="1" applyAlignment="1">
      <alignment horizontal="center" vertical="center"/>
    </xf>
    <xf numFmtId="0" fontId="155" fillId="23" borderId="13" xfId="0" applyFont="1" applyFill="1" applyBorder="1" applyAlignment="1">
      <alignment horizontal="right"/>
    </xf>
    <xf numFmtId="2" fontId="8" fillId="23" borderId="9" xfId="0" applyNumberFormat="1" applyFont="1" applyFill="1" applyBorder="1"/>
    <xf numFmtId="0" fontId="0" fillId="23" borderId="10" xfId="0" applyFill="1" applyBorder="1" applyAlignment="1">
      <alignment vertical="center"/>
    </xf>
    <xf numFmtId="0" fontId="155" fillId="23" borderId="10" xfId="0" applyFont="1" applyFill="1" applyBorder="1" applyAlignment="1">
      <alignment vertical="center" wrapText="1"/>
    </xf>
    <xf numFmtId="2" fontId="0" fillId="23" borderId="9" xfId="0" applyNumberFormat="1" applyFill="1" applyBorder="1" applyAlignment="1">
      <alignment vertical="center"/>
    </xf>
    <xf numFmtId="0" fontId="0" fillId="24" borderId="9" xfId="0" applyFill="1" applyBorder="1" applyAlignment="1">
      <alignment vertical="top" wrapText="1"/>
    </xf>
    <xf numFmtId="166" fontId="8" fillId="24" borderId="9" xfId="0" applyNumberFormat="1" applyFont="1" applyFill="1" applyBorder="1"/>
    <xf numFmtId="172" fontId="8" fillId="24" borderId="9" xfId="0" applyNumberFormat="1" applyFont="1" applyFill="1" applyBorder="1"/>
    <xf numFmtId="0" fontId="34" fillId="29" borderId="9" xfId="0" applyFont="1" applyFill="1" applyBorder="1"/>
    <xf numFmtId="0" fontId="34" fillId="29" borderId="22" xfId="0" applyFont="1" applyFill="1" applyBorder="1"/>
    <xf numFmtId="0" fontId="32" fillId="29" borderId="9" xfId="0" applyFont="1" applyFill="1" applyBorder="1" applyAlignment="1">
      <alignment horizontal="left"/>
    </xf>
    <xf numFmtId="0" fontId="32" fillId="29" borderId="20" xfId="0" applyFont="1" applyFill="1" applyBorder="1"/>
    <xf numFmtId="2" fontId="10" fillId="24" borderId="13" xfId="0" applyNumberFormat="1" applyFont="1" applyFill="1" applyBorder="1" applyAlignment="1">
      <alignment horizontal="right"/>
    </xf>
    <xf numFmtId="0" fontId="0" fillId="23" borderId="21" xfId="0" applyFill="1" applyBorder="1" applyAlignment="1">
      <alignment horizontal="left"/>
    </xf>
    <xf numFmtId="2" fontId="8" fillId="24" borderId="25" xfId="0" applyNumberFormat="1" applyFont="1" applyFill="1" applyBorder="1" applyAlignment="1">
      <alignment horizontal="right"/>
    </xf>
    <xf numFmtId="2" fontId="8" fillId="24" borderId="20" xfId="0" applyNumberFormat="1" applyFont="1" applyFill="1" applyBorder="1" applyAlignment="1">
      <alignment horizontal="center"/>
    </xf>
    <xf numFmtId="2" fontId="8" fillId="24" borderId="16" xfId="0" applyNumberFormat="1" applyFont="1" applyFill="1" applyBorder="1" applyAlignment="1">
      <alignment horizontal="center"/>
    </xf>
    <xf numFmtId="0" fontId="10" fillId="24" borderId="9" xfId="0" applyFont="1" applyFill="1" applyBorder="1"/>
    <xf numFmtId="168" fontId="27" fillId="24" borderId="9" xfId="0" applyNumberFormat="1" applyFont="1" applyFill="1" applyBorder="1"/>
    <xf numFmtId="168" fontId="60" fillId="25" borderId="204" xfId="0" applyNumberFormat="1" applyFont="1" applyFill="1" applyBorder="1"/>
    <xf numFmtId="171" fontId="60" fillId="25" borderId="204" xfId="0" applyNumberFormat="1" applyFont="1" applyFill="1" applyBorder="1"/>
    <xf numFmtId="168" fontId="60" fillId="25" borderId="193" xfId="0" applyNumberFormat="1" applyFont="1" applyFill="1" applyBorder="1"/>
    <xf numFmtId="0" fontId="60" fillId="25" borderId="193" xfId="0" applyFont="1" applyFill="1" applyBorder="1"/>
    <xf numFmtId="0" fontId="155" fillId="23" borderId="0" xfId="0" applyFont="1" applyFill="1" applyBorder="1" applyAlignment="1">
      <alignment horizontal="left"/>
    </xf>
    <xf numFmtId="0" fontId="155" fillId="62" borderId="0" xfId="0" applyFont="1" applyFill="1" applyBorder="1" applyAlignment="1">
      <alignment vertical="center" wrapText="1"/>
    </xf>
    <xf numFmtId="0" fontId="155" fillId="62" borderId="0" xfId="0" applyFont="1" applyFill="1" applyBorder="1" applyAlignment="1"/>
    <xf numFmtId="0" fontId="155" fillId="62" borderId="9" xfId="0" applyFont="1" applyFill="1" applyBorder="1" applyAlignment="1"/>
    <xf numFmtId="0" fontId="155" fillId="62" borderId="13" xfId="0" applyFont="1" applyFill="1" applyBorder="1"/>
    <xf numFmtId="0" fontId="10" fillId="63" borderId="0" xfId="0" applyFont="1" applyFill="1" applyBorder="1" applyAlignment="1">
      <alignment horizontal="left" indent="1"/>
    </xf>
    <xf numFmtId="168" fontId="59" fillId="63" borderId="4" xfId="0" applyNumberFormat="1" applyFont="1" applyFill="1" applyBorder="1"/>
    <xf numFmtId="0" fontId="155" fillId="63" borderId="9" xfId="0" applyFont="1" applyFill="1" applyBorder="1" applyAlignment="1"/>
    <xf numFmtId="0" fontId="155" fillId="63" borderId="9" xfId="0" applyFont="1" applyFill="1" applyBorder="1"/>
    <xf numFmtId="0" fontId="159" fillId="64" borderId="0" xfId="0" applyFont="1" applyFill="1" applyBorder="1"/>
    <xf numFmtId="0" fontId="0" fillId="64" borderId="0" xfId="0" quotePrefix="1" applyFill="1" applyBorder="1"/>
    <xf numFmtId="0" fontId="10" fillId="64" borderId="0" xfId="0" applyFont="1" applyFill="1" applyBorder="1"/>
    <xf numFmtId="0" fontId="155" fillId="64" borderId="9" xfId="0" applyFont="1" applyFill="1" applyBorder="1"/>
    <xf numFmtId="0" fontId="8" fillId="64" borderId="0" xfId="0" applyFont="1" applyFill="1" applyBorder="1"/>
    <xf numFmtId="0" fontId="0" fillId="64" borderId="0" xfId="0" applyFill="1" applyBorder="1"/>
    <xf numFmtId="0" fontId="0" fillId="64" borderId="0" xfId="0" applyFill="1"/>
    <xf numFmtId="0" fontId="155" fillId="24" borderId="0" xfId="0" applyFont="1" applyFill="1" applyBorder="1" applyAlignment="1">
      <alignment wrapText="1"/>
    </xf>
    <xf numFmtId="0" fontId="77" fillId="62" borderId="0" xfId="0" applyFont="1" applyFill="1" applyBorder="1"/>
    <xf numFmtId="0" fontId="4" fillId="24" borderId="9" xfId="0" applyFont="1" applyFill="1" applyBorder="1" applyAlignment="1">
      <alignment vertical="center"/>
    </xf>
    <xf numFmtId="0" fontId="0" fillId="64" borderId="9" xfId="0" quotePrefix="1" applyFill="1" applyBorder="1"/>
    <xf numFmtId="0" fontId="8" fillId="64" borderId="9" xfId="0" applyFont="1" applyFill="1" applyBorder="1"/>
    <xf numFmtId="2" fontId="27" fillId="24" borderId="9" xfId="0" applyNumberFormat="1" applyFont="1" applyFill="1" applyBorder="1"/>
    <xf numFmtId="0" fontId="10" fillId="62" borderId="9" xfId="0" applyFont="1" applyFill="1" applyBorder="1"/>
    <xf numFmtId="168" fontId="10" fillId="62" borderId="9" xfId="0" applyNumberFormat="1" applyFont="1" applyFill="1" applyBorder="1"/>
    <xf numFmtId="0" fontId="10" fillId="64" borderId="9" xfId="0" applyFont="1" applyFill="1" applyBorder="1"/>
    <xf numFmtId="170" fontId="60" fillId="25" borderId="204" xfId="0" applyNumberFormat="1" applyFont="1" applyFill="1" applyBorder="1"/>
    <xf numFmtId="168" fontId="59" fillId="62" borderId="204" xfId="0" applyNumberFormat="1" applyFont="1" applyFill="1" applyBorder="1"/>
    <xf numFmtId="170" fontId="60" fillId="64" borderId="204" xfId="0" applyNumberFormat="1" applyFont="1" applyFill="1" applyBorder="1"/>
    <xf numFmtId="0" fontId="10" fillId="62" borderId="13" xfId="0" applyFont="1" applyFill="1" applyBorder="1"/>
    <xf numFmtId="0" fontId="10" fillId="64" borderId="13" xfId="0" applyFont="1" applyFill="1" applyBorder="1"/>
    <xf numFmtId="0" fontId="0" fillId="64" borderId="13" xfId="0" applyFill="1" applyBorder="1"/>
    <xf numFmtId="0" fontId="155" fillId="64" borderId="13" xfId="0" applyFont="1" applyFill="1" applyBorder="1"/>
    <xf numFmtId="166" fontId="30" fillId="28" borderId="11" xfId="0" applyNumberFormat="1" applyFont="1" applyFill="1" applyBorder="1"/>
    <xf numFmtId="0" fontId="30" fillId="28" borderId="9" xfId="0" applyFont="1" applyFill="1" applyBorder="1"/>
    <xf numFmtId="0" fontId="155" fillId="23" borderId="9" xfId="0" applyFont="1" applyFill="1" applyBorder="1"/>
    <xf numFmtId="0" fontId="155" fillId="23" borderId="9" xfId="0" applyFont="1" applyFill="1" applyBorder="1" applyAlignment="1">
      <alignment horizontal="left"/>
    </xf>
    <xf numFmtId="0" fontId="77" fillId="62" borderId="9" xfId="0" applyFont="1" applyFill="1" applyBorder="1" applyAlignment="1"/>
    <xf numFmtId="0" fontId="10" fillId="62" borderId="9" xfId="0" applyFont="1" applyFill="1" applyBorder="1" applyAlignment="1"/>
    <xf numFmtId="0" fontId="0" fillId="62" borderId="9" xfId="0" applyFill="1" applyBorder="1" applyAlignment="1"/>
    <xf numFmtId="0" fontId="155" fillId="63" borderId="10" xfId="0" applyFont="1" applyFill="1" applyBorder="1" applyAlignment="1">
      <alignment wrapText="1"/>
    </xf>
    <xf numFmtId="0" fontId="155" fillId="64" borderId="0" xfId="0" applyFont="1" applyFill="1" applyBorder="1" applyAlignment="1"/>
    <xf numFmtId="0" fontId="155" fillId="64" borderId="0" xfId="0" applyFont="1" applyFill="1"/>
    <xf numFmtId="0" fontId="155" fillId="63" borderId="0" xfId="0" applyFont="1" applyFill="1" applyBorder="1"/>
    <xf numFmtId="2" fontId="8" fillId="24" borderId="25" xfId="0" applyNumberFormat="1" applyFont="1" applyFill="1" applyBorder="1"/>
    <xf numFmtId="0" fontId="0" fillId="24" borderId="20" xfId="0" applyFill="1" applyBorder="1"/>
    <xf numFmtId="0" fontId="0" fillId="24" borderId="16" xfId="0" applyFill="1" applyBorder="1"/>
    <xf numFmtId="0" fontId="155" fillId="24" borderId="0" xfId="0" applyFont="1" applyFill="1" applyBorder="1" applyAlignment="1">
      <alignment vertical="center"/>
    </xf>
    <xf numFmtId="0" fontId="155" fillId="63" borderId="0" xfId="0" applyFont="1" applyFill="1" applyBorder="1" applyAlignment="1">
      <alignment wrapText="1"/>
    </xf>
    <xf numFmtId="0" fontId="0" fillId="24" borderId="9" xfId="0" applyFill="1" applyBorder="1" applyAlignment="1">
      <alignment vertical="center"/>
    </xf>
    <xf numFmtId="0" fontId="77" fillId="23" borderId="9" xfId="0" applyFont="1" applyFill="1" applyBorder="1" applyAlignment="1">
      <alignment horizontal="left" indent="1"/>
    </xf>
    <xf numFmtId="0" fontId="10" fillId="23" borderId="9" xfId="0" applyFont="1" applyFill="1" applyBorder="1" applyAlignment="1">
      <alignment horizontal="left" indent="1"/>
    </xf>
    <xf numFmtId="0" fontId="0" fillId="23" borderId="9" xfId="0" applyFill="1" applyBorder="1" applyAlignment="1">
      <alignment horizontal="left" indent="1"/>
    </xf>
    <xf numFmtId="0" fontId="0" fillId="24" borderId="9" xfId="0" quotePrefix="1" applyFill="1" applyBorder="1"/>
    <xf numFmtId="0" fontId="10" fillId="23" borderId="9" xfId="0" applyFont="1" applyFill="1" applyBorder="1"/>
    <xf numFmtId="168" fontId="10" fillId="23" borderId="9" xfId="0" applyNumberFormat="1" applyFont="1" applyFill="1" applyBorder="1"/>
    <xf numFmtId="166" fontId="60" fillId="25" borderId="204" xfId="0" applyNumberFormat="1" applyFont="1" applyFill="1" applyBorder="1"/>
    <xf numFmtId="168" fontId="59" fillId="25" borderId="204" xfId="0" applyNumberFormat="1" applyFont="1" applyFill="1" applyBorder="1"/>
    <xf numFmtId="174" fontId="60" fillId="25" borderId="204" xfId="0" applyNumberFormat="1" applyFont="1" applyFill="1" applyBorder="1"/>
    <xf numFmtId="0" fontId="0" fillId="63" borderId="0" xfId="0" applyFill="1" applyBorder="1" applyAlignment="1">
      <alignment horizontal="right"/>
    </xf>
    <xf numFmtId="2" fontId="8" fillId="63" borderId="9" xfId="0" applyNumberFormat="1" applyFont="1" applyFill="1" applyBorder="1"/>
    <xf numFmtId="0" fontId="0" fillId="63" borderId="10" xfId="0" applyFill="1" applyBorder="1"/>
    <xf numFmtId="0" fontId="155" fillId="63" borderId="0" xfId="0" applyFont="1" applyFill="1" applyBorder="1" applyAlignment="1">
      <alignment horizontal="right"/>
    </xf>
    <xf numFmtId="167" fontId="0" fillId="63" borderId="9" xfId="0" applyNumberFormat="1" applyFill="1" applyBorder="1"/>
    <xf numFmtId="0" fontId="155" fillId="63" borderId="10" xfId="0" applyFont="1" applyFill="1" applyBorder="1"/>
    <xf numFmtId="2" fontId="0" fillId="63" borderId="9" xfId="0" applyNumberFormat="1" applyFill="1" applyBorder="1"/>
    <xf numFmtId="0" fontId="8" fillId="63" borderId="0" xfId="0" applyFont="1" applyFill="1" applyBorder="1"/>
    <xf numFmtId="170" fontId="32" fillId="29" borderId="100" xfId="0" applyNumberFormat="1" applyFont="1" applyFill="1" applyBorder="1" applyAlignment="1">
      <alignment horizontal="right"/>
    </xf>
    <xf numFmtId="0" fontId="10" fillId="24" borderId="100" xfId="0" applyFont="1" applyFill="1" applyBorder="1" applyAlignment="1">
      <alignment horizontal="right"/>
    </xf>
    <xf numFmtId="2" fontId="0" fillId="24" borderId="100" xfId="0" applyNumberFormat="1" applyFill="1" applyBorder="1"/>
    <xf numFmtId="0" fontId="0" fillId="24" borderId="13" xfId="0" applyFill="1" applyBorder="1" applyAlignment="1">
      <alignment horizontal="center"/>
    </xf>
    <xf numFmtId="0" fontId="155" fillId="24" borderId="10" xfId="0" applyFont="1" applyFill="1" applyBorder="1" applyAlignment="1">
      <alignment horizontal="center"/>
    </xf>
    <xf numFmtId="0" fontId="0" fillId="24" borderId="9" xfId="0" applyFill="1" applyBorder="1" applyAlignment="1">
      <alignment horizontal="center"/>
    </xf>
    <xf numFmtId="0" fontId="155" fillId="25" borderId="0" xfId="0" applyFont="1" applyFill="1"/>
    <xf numFmtId="0" fontId="32" fillId="29" borderId="25" xfId="0" applyFont="1" applyFill="1" applyBorder="1" applyAlignment="1">
      <alignment horizontal="right"/>
    </xf>
    <xf numFmtId="2" fontId="0" fillId="24" borderId="20" xfId="0" applyNumberFormat="1" applyFill="1" applyBorder="1"/>
    <xf numFmtId="2" fontId="32" fillId="29" borderId="16" xfId="0" applyNumberFormat="1" applyFont="1" applyFill="1" applyBorder="1" applyAlignment="1">
      <alignment horizontal="right"/>
    </xf>
    <xf numFmtId="0" fontId="160" fillId="0" borderId="0" xfId="104" applyFont="1" applyAlignment="1">
      <alignment wrapText="1"/>
    </xf>
    <xf numFmtId="0" fontId="3" fillId="0" borderId="0" xfId="104"/>
    <xf numFmtId="0" fontId="3" fillId="0" borderId="0" xfId="104" applyAlignment="1">
      <alignment vertical="center"/>
    </xf>
    <xf numFmtId="0" fontId="3" fillId="0" borderId="0" xfId="104" applyAlignment="1">
      <alignment horizontal="center" vertical="center"/>
    </xf>
    <xf numFmtId="0" fontId="3" fillId="0" borderId="0" xfId="104" applyFill="1" applyAlignment="1">
      <alignment horizontal="center" vertical="center"/>
    </xf>
    <xf numFmtId="0" fontId="3" fillId="0" borderId="0" xfId="104" applyFill="1" applyAlignment="1">
      <alignment horizontal="left" vertical="center"/>
    </xf>
    <xf numFmtId="0" fontId="3" fillId="0" borderId="0" xfId="104" applyFill="1"/>
    <xf numFmtId="0" fontId="3" fillId="0" borderId="0" xfId="104" applyFill="1" applyAlignment="1">
      <alignment vertical="center"/>
    </xf>
    <xf numFmtId="0" fontId="162" fillId="62" borderId="79" xfId="104" applyFont="1" applyFill="1" applyBorder="1" applyAlignment="1">
      <alignment vertical="center"/>
    </xf>
    <xf numFmtId="0" fontId="162" fillId="62" borderId="78" xfId="104" applyFont="1" applyFill="1" applyBorder="1" applyAlignment="1">
      <alignment vertical="center"/>
    </xf>
    <xf numFmtId="0" fontId="3" fillId="62" borderId="77" xfId="104" applyFill="1" applyBorder="1"/>
    <xf numFmtId="0" fontId="162" fillId="62" borderId="29" xfId="104" applyFont="1" applyFill="1" applyBorder="1" applyAlignment="1">
      <alignment vertical="center"/>
    </xf>
    <xf numFmtId="0" fontId="162" fillId="62" borderId="0" xfId="104" applyFont="1" applyFill="1" applyBorder="1" applyAlignment="1">
      <alignment vertical="center"/>
    </xf>
    <xf numFmtId="2" fontId="162" fillId="62" borderId="0" xfId="104" applyNumberFormat="1" applyFont="1" applyFill="1" applyBorder="1" applyAlignment="1">
      <alignment vertical="center"/>
    </xf>
    <xf numFmtId="0" fontId="3" fillId="62" borderId="19" xfId="104" applyFill="1" applyBorder="1"/>
    <xf numFmtId="2" fontId="84" fillId="27" borderId="162" xfId="104" applyNumberFormat="1" applyFont="1" applyFill="1" applyBorder="1" applyAlignment="1">
      <alignment horizontal="center" vertical="center"/>
    </xf>
    <xf numFmtId="166" fontId="162" fillId="62" borderId="0" xfId="104" applyNumberFormat="1" applyFont="1" applyFill="1" applyBorder="1" applyAlignment="1">
      <alignment vertical="center"/>
    </xf>
    <xf numFmtId="0" fontId="162" fillId="62" borderId="0" xfId="104" applyFont="1" applyFill="1" applyBorder="1" applyAlignment="1">
      <alignment horizontal="right" vertical="center"/>
    </xf>
    <xf numFmtId="0" fontId="155" fillId="62" borderId="0" xfId="104" applyFont="1" applyFill="1" applyBorder="1" applyAlignment="1">
      <alignment vertical="center"/>
    </xf>
    <xf numFmtId="0" fontId="8" fillId="62" borderId="0" xfId="104" applyFont="1" applyFill="1" applyBorder="1" applyAlignment="1">
      <alignment vertical="center"/>
    </xf>
    <xf numFmtId="166" fontId="8" fillId="62" borderId="0" xfId="104" applyNumberFormat="1" applyFont="1" applyFill="1" applyBorder="1" applyAlignment="1">
      <alignment horizontal="right" vertical="center"/>
    </xf>
    <xf numFmtId="0" fontId="8" fillId="62" borderId="0" xfId="104" applyFont="1" applyFill="1" applyBorder="1" applyAlignment="1">
      <alignment horizontal="right" vertical="center"/>
    </xf>
    <xf numFmtId="0" fontId="155" fillId="62" borderId="29" xfId="104" applyFont="1" applyFill="1" applyBorder="1" applyAlignment="1">
      <alignment vertical="center"/>
    </xf>
    <xf numFmtId="166" fontId="162" fillId="62" borderId="107" xfId="104" applyNumberFormat="1" applyFont="1" applyFill="1" applyBorder="1" applyAlignment="1">
      <alignment vertical="center"/>
    </xf>
    <xf numFmtId="0" fontId="155" fillId="62" borderId="0" xfId="104" applyFont="1" applyFill="1" applyBorder="1" applyAlignment="1">
      <alignment horizontal="right" vertical="center"/>
    </xf>
    <xf numFmtId="0" fontId="93" fillId="62" borderId="0" xfId="104" applyFont="1" applyFill="1" applyBorder="1" applyAlignment="1">
      <alignment horizontal="center" vertical="center"/>
    </xf>
    <xf numFmtId="0" fontId="162" fillId="62" borderId="107" xfId="104" applyFont="1" applyFill="1" applyBorder="1" applyAlignment="1">
      <alignment horizontal="center" vertical="center"/>
    </xf>
    <xf numFmtId="166" fontId="93" fillId="62" borderId="29" xfId="104" applyNumberFormat="1" applyFont="1" applyFill="1" applyBorder="1" applyAlignment="1">
      <alignment vertical="center"/>
    </xf>
    <xf numFmtId="166" fontId="93" fillId="62" borderId="0" xfId="104" applyNumberFormat="1" applyFont="1" applyFill="1" applyBorder="1" applyAlignment="1">
      <alignment vertical="center"/>
    </xf>
    <xf numFmtId="0" fontId="155" fillId="62" borderId="0" xfId="104" applyNumberFormat="1" applyFont="1" applyFill="1" applyBorder="1" applyAlignment="1">
      <alignment vertical="center"/>
    </xf>
    <xf numFmtId="0" fontId="3" fillId="62" borderId="79" xfId="104" applyFill="1" applyBorder="1" applyAlignment="1">
      <alignment vertical="center"/>
    </xf>
    <xf numFmtId="0" fontId="3" fillId="62" borderId="78" xfId="104" applyFill="1" applyBorder="1" applyAlignment="1">
      <alignment vertical="center"/>
    </xf>
    <xf numFmtId="0" fontId="3" fillId="62" borderId="78" xfId="104" applyFill="1" applyBorder="1" applyAlignment="1">
      <alignment horizontal="center" vertical="center"/>
    </xf>
    <xf numFmtId="0" fontId="3" fillId="62" borderId="77" xfId="104" applyFill="1" applyBorder="1" applyAlignment="1">
      <alignment horizontal="left" vertical="center"/>
    </xf>
    <xf numFmtId="0" fontId="3" fillId="62" borderId="29" xfId="104" applyFill="1" applyBorder="1" applyAlignment="1">
      <alignment vertical="center"/>
    </xf>
    <xf numFmtId="0" fontId="3" fillId="62" borderId="0" xfId="104" applyFill="1" applyBorder="1" applyAlignment="1">
      <alignment vertical="center"/>
    </xf>
    <xf numFmtId="0" fontId="3" fillId="62" borderId="19" xfId="104" applyFill="1" applyBorder="1" applyAlignment="1">
      <alignment horizontal="left" vertical="center"/>
    </xf>
    <xf numFmtId="2" fontId="8" fillId="62" borderId="0" xfId="104" applyNumberFormat="1" applyFont="1" applyFill="1" applyBorder="1" applyAlignment="1">
      <alignment vertical="center"/>
    </xf>
    <xf numFmtId="0" fontId="3" fillId="62" borderId="0" xfId="104" applyFill="1" applyBorder="1" applyAlignment="1">
      <alignment horizontal="center" vertical="center"/>
    </xf>
    <xf numFmtId="0" fontId="99" fillId="62" borderId="19" xfId="104" applyFont="1" applyFill="1" applyBorder="1" applyAlignment="1">
      <alignment horizontal="left" vertical="center"/>
    </xf>
    <xf numFmtId="0" fontId="162" fillId="62" borderId="98" xfId="104" applyFont="1" applyFill="1" applyBorder="1" applyAlignment="1">
      <alignment horizontal="right" vertical="center"/>
    </xf>
    <xf numFmtId="0" fontId="162" fillId="62" borderId="0" xfId="104" applyFont="1" applyFill="1" applyBorder="1" applyAlignment="1">
      <alignment horizontal="right" vertical="center" indent="1"/>
    </xf>
    <xf numFmtId="0" fontId="3" fillId="62" borderId="19" xfId="104" applyFill="1" applyBorder="1" applyAlignment="1">
      <alignment horizontal="center" vertical="center"/>
    </xf>
    <xf numFmtId="0" fontId="162" fillId="62" borderId="98" xfId="104" applyFont="1" applyFill="1" applyBorder="1" applyAlignment="1">
      <alignment vertical="center"/>
    </xf>
    <xf numFmtId="0" fontId="167" fillId="62" borderId="98" xfId="104" applyFont="1" applyFill="1" applyBorder="1" applyAlignment="1">
      <alignment vertical="center"/>
    </xf>
    <xf numFmtId="0" fontId="168" fillId="62" borderId="0" xfId="104" applyFont="1" applyFill="1" applyBorder="1" applyAlignment="1">
      <alignment vertical="center"/>
    </xf>
    <xf numFmtId="0" fontId="168" fillId="62" borderId="98" xfId="104" applyFont="1" applyFill="1" applyBorder="1" applyAlignment="1">
      <alignment vertical="center"/>
    </xf>
    <xf numFmtId="0" fontId="168" fillId="62" borderId="0" xfId="104" applyFont="1" applyFill="1" applyBorder="1" applyAlignment="1">
      <alignment horizontal="center" vertical="center"/>
    </xf>
    <xf numFmtId="0" fontId="155" fillId="62" borderId="0" xfId="104" applyFont="1" applyFill="1" applyBorder="1" applyAlignment="1">
      <alignment horizontal="center" vertical="center"/>
    </xf>
    <xf numFmtId="0" fontId="155" fillId="62" borderId="0" xfId="104" applyFont="1" applyFill="1" applyBorder="1" applyAlignment="1">
      <alignment horizontal="center" vertical="center" wrapText="1"/>
    </xf>
    <xf numFmtId="0" fontId="162" fillId="62" borderId="0" xfId="104" applyFont="1" applyFill="1" applyBorder="1" applyAlignment="1">
      <alignment horizontal="left" vertical="center"/>
    </xf>
    <xf numFmtId="0" fontId="77" fillId="62" borderId="0" xfId="104" applyFont="1" applyFill="1" applyBorder="1" applyAlignment="1">
      <alignment horizontal="left" vertical="center"/>
    </xf>
    <xf numFmtId="0" fontId="46" fillId="62" borderId="29" xfId="104" applyFont="1" applyFill="1" applyBorder="1" applyAlignment="1">
      <alignment horizontal="right" vertical="center" wrapText="1"/>
    </xf>
    <xf numFmtId="0" fontId="3" fillId="62" borderId="19" xfId="104" applyFill="1" applyBorder="1" applyAlignment="1">
      <alignment vertical="center"/>
    </xf>
    <xf numFmtId="0" fontId="8" fillId="62" borderId="77" xfId="104" applyFont="1" applyFill="1" applyBorder="1" applyAlignment="1">
      <alignment vertical="center"/>
    </xf>
    <xf numFmtId="0" fontId="155" fillId="62" borderId="18" xfId="104" applyFont="1" applyFill="1" applyBorder="1" applyAlignment="1">
      <alignment vertical="center"/>
    </xf>
    <xf numFmtId="0" fontId="162" fillId="62" borderId="18" xfId="104" applyFont="1" applyFill="1" applyBorder="1" applyAlignment="1">
      <alignment vertical="center"/>
    </xf>
    <xf numFmtId="0" fontId="8" fillId="62" borderId="17" xfId="104" applyFont="1" applyFill="1" applyBorder="1" applyAlignment="1">
      <alignment vertical="center"/>
    </xf>
    <xf numFmtId="0" fontId="162" fillId="65" borderId="36" xfId="104" applyFont="1" applyFill="1" applyBorder="1" applyAlignment="1">
      <alignment vertical="center"/>
    </xf>
    <xf numFmtId="0" fontId="162" fillId="65" borderId="18" xfId="104" applyFont="1" applyFill="1" applyBorder="1" applyAlignment="1">
      <alignment vertical="center"/>
    </xf>
    <xf numFmtId="0" fontId="8" fillId="65" borderId="17" xfId="104" applyFont="1" applyFill="1" applyBorder="1" applyAlignment="1">
      <alignment vertical="center"/>
    </xf>
    <xf numFmtId="0" fontId="162" fillId="62" borderId="0" xfId="104" applyFont="1" applyFill="1" applyBorder="1" applyAlignment="1">
      <alignment horizontal="center"/>
    </xf>
    <xf numFmtId="0" fontId="162" fillId="62" borderId="0" xfId="104" applyFont="1" applyFill="1" applyBorder="1" applyAlignment="1">
      <alignment horizontal="left"/>
    </xf>
    <xf numFmtId="0" fontId="162" fillId="62" borderId="178" xfId="104" applyFont="1" applyFill="1" applyBorder="1" applyAlignment="1">
      <alignment horizontal="center" vertical="center"/>
    </xf>
    <xf numFmtId="0" fontId="162" fillId="62" borderId="177" xfId="104" applyFont="1" applyFill="1" applyBorder="1" applyAlignment="1">
      <alignment horizontal="left" vertical="center"/>
    </xf>
    <xf numFmtId="0" fontId="162" fillId="62" borderId="100" xfId="104" applyFont="1" applyFill="1" applyBorder="1" applyAlignment="1">
      <alignment horizontal="center" vertical="center"/>
    </xf>
    <xf numFmtId="0" fontId="162" fillId="62" borderId="175" xfId="104" applyFont="1" applyFill="1" applyBorder="1" applyAlignment="1">
      <alignment horizontal="left" vertical="center"/>
    </xf>
    <xf numFmtId="0" fontId="162" fillId="62" borderId="175" xfId="104" applyFont="1" applyFill="1" applyBorder="1" applyAlignment="1">
      <alignment vertical="center" wrapText="1"/>
    </xf>
    <xf numFmtId="0" fontId="162" fillId="62" borderId="175" xfId="104" applyFont="1" applyFill="1" applyBorder="1" applyAlignment="1">
      <alignment vertical="center"/>
    </xf>
    <xf numFmtId="0" fontId="162" fillId="62" borderId="213" xfId="104" applyFont="1" applyFill="1" applyBorder="1" applyAlignment="1">
      <alignment horizontal="center" vertical="center"/>
    </xf>
    <xf numFmtId="0" fontId="162" fillId="62" borderId="215" xfId="104" applyFont="1" applyFill="1" applyBorder="1" applyAlignment="1">
      <alignment vertical="center"/>
    </xf>
    <xf numFmtId="0" fontId="162" fillId="62" borderId="29" xfId="104" applyFont="1" applyFill="1" applyBorder="1"/>
    <xf numFmtId="0" fontId="162" fillId="62" borderId="0" xfId="104" applyFont="1" applyFill="1" applyBorder="1"/>
    <xf numFmtId="0" fontId="8" fillId="62" borderId="0" xfId="104" applyFont="1" applyFill="1" applyBorder="1"/>
    <xf numFmtId="0" fontId="11" fillId="62" borderId="29" xfId="66" applyFont="1" applyFill="1" applyBorder="1" applyAlignment="1" applyProtection="1"/>
    <xf numFmtId="0" fontId="11" fillId="62" borderId="0" xfId="66" applyFont="1" applyFill="1" applyBorder="1" applyAlignment="1" applyProtection="1"/>
    <xf numFmtId="0" fontId="11" fillId="62" borderId="0" xfId="66" applyFont="1" applyFill="1" applyBorder="1" applyAlignment="1" applyProtection="1">
      <alignment vertical="center"/>
    </xf>
    <xf numFmtId="0" fontId="3" fillId="0" borderId="0" xfId="104" applyBorder="1" applyAlignment="1">
      <alignment vertical="center"/>
    </xf>
    <xf numFmtId="0" fontId="3" fillId="0" borderId="0" xfId="104" applyBorder="1" applyAlignment="1">
      <alignment horizontal="center" vertical="center"/>
    </xf>
    <xf numFmtId="0" fontId="3" fillId="0" borderId="0" xfId="104" applyFill="1" applyBorder="1" applyAlignment="1">
      <alignment horizontal="center" vertical="center"/>
    </xf>
    <xf numFmtId="0" fontId="3" fillId="23" borderId="36" xfId="104" applyFill="1" applyBorder="1"/>
    <xf numFmtId="0" fontId="3" fillId="23" borderId="18" xfId="104" applyFill="1" applyBorder="1"/>
    <xf numFmtId="0" fontId="3" fillId="23" borderId="17" xfId="104" applyFill="1" applyBorder="1"/>
    <xf numFmtId="0" fontId="162" fillId="27" borderId="216" xfId="104" applyFont="1" applyFill="1" applyBorder="1" applyAlignment="1">
      <alignment vertical="center"/>
    </xf>
    <xf numFmtId="0" fontId="84" fillId="27" borderId="103" xfId="104" applyFont="1" applyFill="1" applyBorder="1" applyAlignment="1">
      <alignment horizontal="left" vertical="center" indent="2"/>
    </xf>
    <xf numFmtId="168" fontId="84" fillId="27" borderId="103" xfId="104" applyNumberFormat="1" applyFont="1" applyFill="1" applyBorder="1" applyAlignment="1">
      <alignment vertical="center"/>
    </xf>
    <xf numFmtId="0" fontId="170" fillId="62" borderId="0" xfId="104" applyFont="1" applyFill="1" applyBorder="1" applyAlignment="1">
      <alignment horizontal="right" vertical="center"/>
    </xf>
    <xf numFmtId="0" fontId="170" fillId="62" borderId="0" xfId="104" applyFont="1" applyFill="1" applyBorder="1" applyAlignment="1">
      <alignment vertical="center"/>
    </xf>
    <xf numFmtId="0" fontId="170" fillId="62" borderId="0" xfId="104" applyFont="1" applyFill="1" applyBorder="1" applyAlignment="1">
      <alignment horizontal="center" vertical="center"/>
    </xf>
    <xf numFmtId="0" fontId="8" fillId="62" borderId="0" xfId="104" applyNumberFormat="1" applyFont="1" applyFill="1" applyBorder="1" applyAlignment="1">
      <alignment vertical="center"/>
    </xf>
    <xf numFmtId="166" fontId="170" fillId="62" borderId="29" xfId="104" applyNumberFormat="1" applyFont="1" applyFill="1" applyBorder="1" applyAlignment="1">
      <alignment vertical="center"/>
    </xf>
    <xf numFmtId="166" fontId="170" fillId="62" borderId="0" xfId="104" applyNumberFormat="1" applyFont="1" applyFill="1" applyBorder="1" applyAlignment="1">
      <alignment vertical="center"/>
    </xf>
    <xf numFmtId="0" fontId="162" fillId="66" borderId="216" xfId="104" applyFont="1" applyFill="1" applyBorder="1" applyAlignment="1">
      <alignment vertical="center"/>
    </xf>
    <xf numFmtId="0" fontId="162" fillId="66" borderId="103" xfId="104" applyFont="1" applyFill="1" applyBorder="1" applyAlignment="1">
      <alignment vertical="center"/>
    </xf>
    <xf numFmtId="0" fontId="8" fillId="66" borderId="102" xfId="104" applyFont="1" applyFill="1" applyBorder="1" applyAlignment="1">
      <alignment vertical="center"/>
    </xf>
    <xf numFmtId="166" fontId="155" fillId="62" borderId="0" xfId="104" applyNumberFormat="1" applyFont="1" applyFill="1" applyBorder="1" applyAlignment="1">
      <alignment vertical="center"/>
    </xf>
    <xf numFmtId="0" fontId="162" fillId="66" borderId="98" xfId="104" applyFont="1" applyFill="1" applyBorder="1" applyAlignment="1">
      <alignment vertical="center"/>
    </xf>
    <xf numFmtId="0" fontId="155" fillId="62" borderId="0" xfId="104" applyFont="1" applyFill="1" applyBorder="1" applyAlignment="1">
      <alignment horizontal="left" vertical="center"/>
    </xf>
    <xf numFmtId="0" fontId="155" fillId="62" borderId="29" xfId="104" applyFont="1" applyFill="1" applyBorder="1" applyAlignment="1">
      <alignment vertical="center" wrapText="1"/>
    </xf>
    <xf numFmtId="0" fontId="89" fillId="62" borderId="0" xfId="104" applyFont="1" applyFill="1" applyBorder="1" applyAlignment="1">
      <alignment vertical="center"/>
    </xf>
    <xf numFmtId="0" fontId="165" fillId="62" borderId="0" xfId="104" applyFont="1" applyFill="1" applyBorder="1" applyAlignment="1">
      <alignment vertical="center"/>
    </xf>
    <xf numFmtId="0" fontId="162" fillId="66" borderId="55" xfId="104" applyFont="1" applyFill="1" applyBorder="1" applyAlignment="1">
      <alignment vertical="center"/>
    </xf>
    <xf numFmtId="0" fontId="162" fillId="66" borderId="162" xfId="104" applyFont="1" applyFill="1" applyBorder="1" applyAlignment="1">
      <alignment vertical="center"/>
    </xf>
    <xf numFmtId="0" fontId="8" fillId="66" borderId="80" xfId="104" applyFont="1" applyFill="1" applyBorder="1" applyAlignment="1">
      <alignment vertical="center"/>
    </xf>
    <xf numFmtId="0" fontId="155" fillId="62" borderId="180" xfId="104" applyFont="1" applyFill="1" applyBorder="1" applyAlignment="1">
      <alignment vertical="center"/>
    </xf>
    <xf numFmtId="0" fontId="162" fillId="62" borderId="105" xfId="104" applyFont="1" applyFill="1" applyBorder="1" applyAlignment="1">
      <alignment vertical="center"/>
    </xf>
    <xf numFmtId="0" fontId="162" fillId="62" borderId="0" xfId="104" applyNumberFormat="1" applyFont="1" applyFill="1" applyBorder="1" applyAlignment="1">
      <alignment vertical="center"/>
    </xf>
    <xf numFmtId="0" fontId="155" fillId="0" borderId="0" xfId="104" applyFont="1" applyFill="1"/>
    <xf numFmtId="0" fontId="162" fillId="62" borderId="15" xfId="104" applyFont="1" applyFill="1" applyBorder="1" applyAlignment="1">
      <alignment horizontal="center" vertical="center"/>
    </xf>
    <xf numFmtId="0" fontId="155" fillId="62" borderId="219" xfId="104" applyFont="1" applyFill="1" applyBorder="1" applyAlignment="1">
      <alignment vertical="center"/>
    </xf>
    <xf numFmtId="0" fontId="155" fillId="62" borderId="215" xfId="104" applyFont="1" applyFill="1" applyBorder="1" applyAlignment="1">
      <alignment vertical="center"/>
    </xf>
    <xf numFmtId="0" fontId="3" fillId="0" borderId="0" xfId="104" applyBorder="1"/>
    <xf numFmtId="0" fontId="3" fillId="0" borderId="0" xfId="104" applyFill="1" applyBorder="1"/>
    <xf numFmtId="0" fontId="3" fillId="23" borderId="36" xfId="104" applyFill="1" applyBorder="1" applyAlignment="1">
      <alignment vertical="center"/>
    </xf>
    <xf numFmtId="0" fontId="3" fillId="23" borderId="18" xfId="104" applyFill="1" applyBorder="1" applyAlignment="1">
      <alignment vertical="center"/>
    </xf>
    <xf numFmtId="0" fontId="96" fillId="0" borderId="0" xfId="104" applyFont="1"/>
    <xf numFmtId="0" fontId="96" fillId="0" borderId="0" xfId="104" applyFont="1" applyAlignment="1">
      <alignment vertical="center"/>
    </xf>
    <xf numFmtId="0" fontId="155" fillId="0" borderId="0" xfId="104" applyFont="1"/>
    <xf numFmtId="0" fontId="155" fillId="0" borderId="0" xfId="104" applyFont="1" applyAlignment="1">
      <alignment vertical="center"/>
    </xf>
    <xf numFmtId="2" fontId="155" fillId="0" borderId="0" xfId="104" applyNumberFormat="1" applyFont="1" applyAlignment="1">
      <alignment vertical="center"/>
    </xf>
    <xf numFmtId="0" fontId="155" fillId="24" borderId="79" xfId="104" applyFont="1" applyFill="1" applyBorder="1" applyAlignment="1">
      <alignment vertical="center"/>
    </xf>
    <xf numFmtId="0" fontId="155" fillId="24" borderId="78" xfId="104" applyFont="1" applyFill="1" applyBorder="1" applyAlignment="1">
      <alignment vertical="center"/>
    </xf>
    <xf numFmtId="0" fontId="155" fillId="24" borderId="77" xfId="104" applyFont="1" applyFill="1" applyBorder="1" applyAlignment="1">
      <alignment vertical="center"/>
    </xf>
    <xf numFmtId="0" fontId="112" fillId="24" borderId="29" xfId="104" applyFont="1" applyFill="1" applyBorder="1" applyAlignment="1">
      <alignment horizontal="center" vertical="center"/>
    </xf>
    <xf numFmtId="0" fontId="8" fillId="27" borderId="109" xfId="104" applyFont="1" applyFill="1" applyBorder="1" applyAlignment="1">
      <alignment horizontal="right" vertical="center" indent="2"/>
    </xf>
    <xf numFmtId="0" fontId="8" fillId="27" borderId="108" xfId="104" applyFont="1" applyFill="1" applyBorder="1" applyAlignment="1">
      <alignment vertical="center"/>
    </xf>
    <xf numFmtId="2" fontId="8" fillId="27" borderId="118" xfId="104" applyNumberFormat="1" applyFont="1" applyFill="1" applyBorder="1" applyAlignment="1">
      <alignment horizontal="right" vertical="center" indent="2"/>
    </xf>
    <xf numFmtId="0" fontId="155" fillId="24" borderId="0" xfId="104" applyFont="1" applyFill="1" applyBorder="1" applyAlignment="1">
      <alignment horizontal="right" vertical="center" indent="2"/>
    </xf>
    <xf numFmtId="0" fontId="8" fillId="24" borderId="0" xfId="104" applyFont="1" applyFill="1" applyBorder="1" applyAlignment="1">
      <alignment horizontal="right" vertical="center" indent="2"/>
    </xf>
    <xf numFmtId="0" fontId="8" fillId="24" borderId="19" xfId="104" applyFont="1" applyFill="1" applyBorder="1" applyAlignment="1">
      <alignment horizontal="center" vertical="center"/>
    </xf>
    <xf numFmtId="0" fontId="155" fillId="24" borderId="19" xfId="104" applyFont="1" applyFill="1" applyBorder="1" applyAlignment="1">
      <alignment horizontal="right" vertical="center" indent="2"/>
    </xf>
    <xf numFmtId="2" fontId="167" fillId="67" borderId="117" xfId="104" applyNumberFormat="1" applyFont="1" applyFill="1" applyBorder="1" applyAlignment="1">
      <alignment horizontal="center" vertical="center"/>
    </xf>
    <xf numFmtId="2" fontId="167" fillId="67" borderId="116" xfId="104" applyNumberFormat="1" applyFont="1" applyFill="1" applyBorder="1" applyAlignment="1">
      <alignment horizontal="center" vertical="center"/>
    </xf>
    <xf numFmtId="2" fontId="155" fillId="67" borderId="119" xfId="104" applyNumberFormat="1" applyFont="1" applyFill="1" applyBorder="1" applyAlignment="1">
      <alignment horizontal="center" vertical="center"/>
    </xf>
    <xf numFmtId="170" fontId="167" fillId="67" borderId="117" xfId="104" applyNumberFormat="1" applyFont="1" applyFill="1" applyBorder="1" applyAlignment="1">
      <alignment horizontal="center" vertical="center"/>
    </xf>
    <xf numFmtId="170" fontId="167" fillId="67" borderId="116" xfId="104" applyNumberFormat="1" applyFont="1" applyFill="1" applyBorder="1" applyAlignment="1">
      <alignment horizontal="center" vertical="center"/>
    </xf>
    <xf numFmtId="170" fontId="155" fillId="67" borderId="119" xfId="104" applyNumberFormat="1" applyFont="1" applyFill="1" applyBorder="1" applyAlignment="1">
      <alignment horizontal="center" vertical="center"/>
    </xf>
    <xf numFmtId="0" fontId="96" fillId="0" borderId="0" xfId="104" applyFont="1" applyFill="1"/>
    <xf numFmtId="0" fontId="155" fillId="0" borderId="0" xfId="104" applyFont="1" applyFill="1" applyAlignment="1">
      <alignment vertical="center"/>
    </xf>
    <xf numFmtId="2" fontId="167" fillId="67" borderId="114" xfId="104" applyNumberFormat="1" applyFont="1" applyFill="1" applyBorder="1" applyAlignment="1">
      <alignment horizontal="center" vertical="center"/>
    </xf>
    <xf numFmtId="2" fontId="167" fillId="67" borderId="0" xfId="104" applyNumberFormat="1" applyFont="1" applyFill="1" applyBorder="1" applyAlignment="1">
      <alignment horizontal="center" vertical="center"/>
    </xf>
    <xf numFmtId="2" fontId="155" fillId="67" borderId="115" xfId="104" applyNumberFormat="1" applyFont="1" applyFill="1" applyBorder="1" applyAlignment="1">
      <alignment horizontal="center" vertical="center"/>
    </xf>
    <xf numFmtId="2" fontId="167" fillId="67" borderId="113" xfId="104" applyNumberFormat="1" applyFont="1" applyFill="1" applyBorder="1" applyAlignment="1">
      <alignment horizontal="center" vertical="center"/>
    </xf>
    <xf numFmtId="2" fontId="167" fillId="67" borderId="112" xfId="104" applyNumberFormat="1" applyFont="1" applyFill="1" applyBorder="1" applyAlignment="1">
      <alignment horizontal="center" vertical="center"/>
    </xf>
    <xf numFmtId="2" fontId="155" fillId="67" borderId="111" xfId="104" applyNumberFormat="1" applyFont="1" applyFill="1" applyBorder="1" applyAlignment="1">
      <alignment horizontal="center" vertical="center"/>
    </xf>
    <xf numFmtId="0" fontId="167" fillId="24" borderId="113" xfId="104" applyFont="1" applyFill="1" applyBorder="1" applyAlignment="1">
      <alignment horizontal="center" vertical="center"/>
    </xf>
    <xf numFmtId="0" fontId="167" fillId="24" borderId="112" xfId="104" applyFont="1" applyFill="1" applyBorder="1" applyAlignment="1">
      <alignment horizontal="center" vertical="center"/>
    </xf>
    <xf numFmtId="0" fontId="155" fillId="24" borderId="111" xfId="104" applyFont="1" applyFill="1" applyBorder="1" applyAlignment="1">
      <alignment horizontal="center" vertical="center"/>
    </xf>
    <xf numFmtId="0" fontId="167" fillId="24" borderId="109" xfId="104" applyFont="1" applyFill="1" applyBorder="1" applyAlignment="1">
      <alignment horizontal="center" vertical="center"/>
    </xf>
    <xf numFmtId="0" fontId="167" fillId="24" borderId="108" xfId="104" applyFont="1" applyFill="1" applyBorder="1" applyAlignment="1">
      <alignment horizontal="center" vertical="center"/>
    </xf>
    <xf numFmtId="0" fontId="155" fillId="24" borderId="118" xfId="104" applyFont="1" applyFill="1" applyBorder="1" applyAlignment="1">
      <alignment horizontal="center" vertical="center"/>
    </xf>
    <xf numFmtId="0" fontId="155" fillId="24" borderId="0" xfId="104" applyFont="1" applyFill="1" applyBorder="1" applyAlignment="1">
      <alignment vertical="center"/>
    </xf>
    <xf numFmtId="0" fontId="155" fillId="24" borderId="19" xfId="104" applyFont="1" applyFill="1" applyBorder="1" applyAlignment="1">
      <alignment vertical="center"/>
    </xf>
    <xf numFmtId="0" fontId="30" fillId="24" borderId="29" xfId="104" applyFont="1" applyFill="1" applyBorder="1" applyAlignment="1">
      <alignment vertical="center"/>
    </xf>
    <xf numFmtId="0" fontId="32" fillId="24" borderId="0" xfId="104" applyFont="1" applyFill="1" applyBorder="1" applyAlignment="1">
      <alignment vertical="center"/>
    </xf>
    <xf numFmtId="0" fontId="32" fillId="24" borderId="19" xfId="104" applyFont="1" applyFill="1" applyBorder="1" applyAlignment="1">
      <alignment vertical="center"/>
    </xf>
    <xf numFmtId="0" fontId="30" fillId="24" borderId="220" xfId="104" applyFont="1" applyFill="1" applyBorder="1" applyAlignment="1">
      <alignment vertical="center"/>
    </xf>
    <xf numFmtId="0" fontId="30" fillId="24" borderId="112" xfId="104" applyFont="1" applyFill="1" applyBorder="1" applyAlignment="1">
      <alignment vertical="center"/>
    </xf>
    <xf numFmtId="0" fontId="32" fillId="24" borderId="112" xfId="104" applyFont="1" applyFill="1" applyBorder="1" applyAlignment="1">
      <alignment vertical="center"/>
    </xf>
    <xf numFmtId="0" fontId="32" fillId="24" borderId="221" xfId="104" applyFont="1" applyFill="1" applyBorder="1" applyAlignment="1">
      <alignment vertical="center"/>
    </xf>
    <xf numFmtId="0" fontId="32" fillId="67" borderId="36" xfId="104" applyFont="1" applyFill="1" applyBorder="1" applyAlignment="1">
      <alignment horizontal="right" vertical="center"/>
    </xf>
    <xf numFmtId="0" fontId="162" fillId="67" borderId="18" xfId="104" applyFont="1" applyFill="1" applyBorder="1" applyAlignment="1">
      <alignment vertical="center"/>
    </xf>
    <xf numFmtId="0" fontId="32" fillId="67" borderId="18" xfId="104" applyFont="1" applyFill="1" applyBorder="1" applyAlignment="1">
      <alignment horizontal="right" vertical="center"/>
    </xf>
    <xf numFmtId="0" fontId="30" fillId="67" borderId="18" xfId="104" applyFont="1" applyFill="1" applyBorder="1" applyAlignment="1">
      <alignment vertical="center"/>
    </xf>
    <xf numFmtId="0" fontId="32" fillId="67" borderId="18" xfId="104" applyFont="1" applyFill="1" applyBorder="1" applyAlignment="1">
      <alignment vertical="center"/>
    </xf>
    <xf numFmtId="0" fontId="32" fillId="67" borderId="18" xfId="104" applyFont="1" applyFill="1" applyBorder="1" applyAlignment="1">
      <alignment horizontal="left" vertical="center"/>
    </xf>
    <xf numFmtId="0" fontId="32" fillId="67" borderId="17" xfId="104" applyFont="1" applyFill="1" applyBorder="1" applyAlignment="1">
      <alignment horizontal="left" vertical="center"/>
    </xf>
    <xf numFmtId="0" fontId="30" fillId="0" borderId="0" xfId="104" applyFont="1" applyFill="1" applyAlignment="1">
      <alignment vertical="center"/>
    </xf>
    <xf numFmtId="0" fontId="32" fillId="0" borderId="0" xfId="104" applyFont="1" applyFill="1" applyAlignment="1">
      <alignment vertical="center"/>
    </xf>
    <xf numFmtId="0" fontId="30" fillId="0" borderId="0" xfId="104" applyFont="1" applyFill="1"/>
    <xf numFmtId="0" fontId="155" fillId="24" borderId="79" xfId="104" applyFont="1" applyFill="1" applyBorder="1"/>
    <xf numFmtId="2" fontId="155" fillId="24" borderId="78" xfId="104" applyNumberFormat="1" applyFont="1" applyFill="1" applyBorder="1" applyAlignment="1">
      <alignment vertical="center"/>
    </xf>
    <xf numFmtId="0" fontId="8" fillId="24" borderId="78" xfId="104" applyFont="1" applyFill="1" applyBorder="1" applyAlignment="1">
      <alignment vertical="center"/>
    </xf>
    <xf numFmtId="0" fontId="8" fillId="24" borderId="77" xfId="104" applyFont="1" applyFill="1" applyBorder="1" applyAlignment="1">
      <alignment vertical="center"/>
    </xf>
    <xf numFmtId="0" fontId="155" fillId="24" borderId="29" xfId="104" applyFont="1" applyFill="1" applyBorder="1"/>
    <xf numFmtId="2" fontId="167" fillId="67" borderId="109" xfId="104" applyNumberFormat="1" applyFont="1" applyFill="1" applyBorder="1" applyAlignment="1">
      <alignment horizontal="center" vertical="center"/>
    </xf>
    <xf numFmtId="2" fontId="167" fillId="67" borderId="108" xfId="104" applyNumberFormat="1" applyFont="1" applyFill="1" applyBorder="1" applyAlignment="1">
      <alignment horizontal="center" vertical="center"/>
    </xf>
    <xf numFmtId="2" fontId="155" fillId="67" borderId="108" xfId="104" applyNumberFormat="1" applyFont="1" applyFill="1" applyBorder="1" applyAlignment="1">
      <alignment horizontal="center" vertical="center"/>
    </xf>
    <xf numFmtId="168" fontId="167" fillId="67" borderId="108" xfId="104" applyNumberFormat="1" applyFont="1" applyFill="1" applyBorder="1" applyAlignment="1">
      <alignment horizontal="center" vertical="center"/>
    </xf>
    <xf numFmtId="2" fontId="155" fillId="67" borderId="118" xfId="104" applyNumberFormat="1" applyFont="1" applyFill="1" applyBorder="1" applyAlignment="1">
      <alignment horizontal="center" vertical="center"/>
    </xf>
    <xf numFmtId="0" fontId="8" fillId="24" borderId="19" xfId="104" applyFont="1" applyFill="1" applyBorder="1" applyAlignment="1">
      <alignment horizontal="right" vertical="center" wrapText="1"/>
    </xf>
    <xf numFmtId="2" fontId="155" fillId="67" borderId="112" xfId="104" applyNumberFormat="1" applyFont="1" applyFill="1" applyBorder="1" applyAlignment="1">
      <alignment horizontal="center" vertical="center"/>
    </xf>
    <xf numFmtId="168" fontId="167" fillId="67" borderId="112" xfId="104" applyNumberFormat="1" applyFont="1" applyFill="1" applyBorder="1" applyAlignment="1">
      <alignment horizontal="center" vertical="center"/>
    </xf>
    <xf numFmtId="0" fontId="8" fillId="24" borderId="19" xfId="104" applyFont="1" applyFill="1" applyBorder="1" applyAlignment="1">
      <alignment horizontal="center" vertical="center" wrapText="1"/>
    </xf>
    <xf numFmtId="0" fontId="155" fillId="24" borderId="0" xfId="104" applyFont="1" applyFill="1" applyBorder="1"/>
    <xf numFmtId="0" fontId="155" fillId="24" borderId="19" xfId="104" applyFont="1" applyFill="1" applyBorder="1"/>
    <xf numFmtId="0" fontId="46" fillId="64" borderId="79" xfId="104" applyFont="1" applyFill="1" applyBorder="1"/>
    <xf numFmtId="0" fontId="46" fillId="64" borderId="78" xfId="104" applyFont="1" applyFill="1" applyBorder="1"/>
    <xf numFmtId="0" fontId="46" fillId="64" borderId="222" xfId="104" applyFont="1" applyFill="1" applyBorder="1" applyAlignment="1">
      <alignment vertical="center"/>
    </xf>
    <xf numFmtId="0" fontId="46" fillId="68" borderId="79" xfId="104" applyFont="1" applyFill="1" applyBorder="1"/>
    <xf numFmtId="0" fontId="46" fillId="68" borderId="78" xfId="104" applyFont="1" applyFill="1" applyBorder="1"/>
    <xf numFmtId="0" fontId="46" fillId="68" borderId="77" xfId="104" applyFont="1" applyFill="1" applyBorder="1" applyAlignment="1">
      <alignment vertical="center"/>
    </xf>
    <xf numFmtId="0" fontId="155" fillId="66" borderId="223" xfId="104" applyFont="1" applyFill="1" applyBorder="1" applyAlignment="1">
      <alignment horizontal="center" vertical="center"/>
    </xf>
    <xf numFmtId="10" fontId="112" fillId="66" borderId="116" xfId="110" applyNumberFormat="1" applyFont="1" applyFill="1" applyBorder="1" applyAlignment="1">
      <alignment horizontal="center" vertical="center"/>
    </xf>
    <xf numFmtId="10" fontId="155" fillId="66" borderId="224" xfId="110" applyNumberFormat="1" applyFont="1" applyFill="1" applyBorder="1" applyAlignment="1">
      <alignment horizontal="left" vertical="center"/>
    </xf>
    <xf numFmtId="0" fontId="155" fillId="66" borderId="19" xfId="104" applyFont="1" applyFill="1" applyBorder="1" applyAlignment="1">
      <alignment horizontal="left" vertical="center"/>
    </xf>
    <xf numFmtId="0" fontId="155" fillId="24" borderId="176" xfId="104" applyFont="1" applyFill="1" applyBorder="1" applyAlignment="1">
      <alignment horizontal="center" vertical="center"/>
    </xf>
    <xf numFmtId="10" fontId="167" fillId="24" borderId="100" xfId="110" applyNumberFormat="1" applyFont="1" applyFill="1" applyBorder="1" applyAlignment="1">
      <alignment horizontal="center" vertical="center"/>
    </xf>
    <xf numFmtId="10" fontId="155" fillId="24" borderId="100" xfId="110" applyNumberFormat="1" applyFont="1" applyFill="1" applyBorder="1" applyAlignment="1">
      <alignment horizontal="center" vertical="center"/>
    </xf>
    <xf numFmtId="0" fontId="155" fillId="24" borderId="175" xfId="104" applyFont="1" applyFill="1" applyBorder="1" applyAlignment="1">
      <alignment horizontal="left" vertical="center" indent="1"/>
    </xf>
    <xf numFmtId="169" fontId="167" fillId="24" borderId="100" xfId="110" applyNumberFormat="1" applyFont="1" applyFill="1" applyBorder="1" applyAlignment="1">
      <alignment horizontal="center" vertical="center"/>
    </xf>
    <xf numFmtId="169" fontId="155" fillId="24" borderId="100" xfId="110" applyNumberFormat="1" applyFont="1" applyFill="1" applyBorder="1" applyAlignment="1">
      <alignment horizontal="center" vertical="center"/>
    </xf>
    <xf numFmtId="0" fontId="155" fillId="66" borderId="29" xfId="104" applyFont="1" applyFill="1" applyBorder="1" applyAlignment="1">
      <alignment horizontal="center" vertical="center"/>
    </xf>
    <xf numFmtId="0" fontId="112" fillId="66" borderId="0" xfId="104" applyFont="1" applyFill="1" applyBorder="1" applyAlignment="1">
      <alignment horizontal="center" vertical="center"/>
    </xf>
    <xf numFmtId="10" fontId="112" fillId="66" borderId="0" xfId="110" applyNumberFormat="1" applyFont="1" applyFill="1" applyBorder="1" applyAlignment="1">
      <alignment horizontal="center" vertical="center"/>
    </xf>
    <xf numFmtId="10" fontId="155" fillId="66" borderId="9" xfId="110" applyNumberFormat="1" applyFont="1" applyFill="1" applyBorder="1" applyAlignment="1">
      <alignment horizontal="left" vertical="center"/>
    </xf>
    <xf numFmtId="0" fontId="167" fillId="24" borderId="100" xfId="104" applyFont="1" applyFill="1" applyBorder="1" applyAlignment="1">
      <alignment horizontal="center" vertical="center"/>
    </xf>
    <xf numFmtId="1" fontId="155" fillId="24" borderId="100" xfId="104" applyNumberFormat="1" applyFont="1" applyFill="1" applyBorder="1" applyAlignment="1">
      <alignment horizontal="center" vertical="center"/>
    </xf>
    <xf numFmtId="0" fontId="167" fillId="24" borderId="100" xfId="104" applyFont="1" applyFill="1" applyBorder="1"/>
    <xf numFmtId="0" fontId="155" fillId="24" borderId="100" xfId="104" applyFont="1" applyFill="1" applyBorder="1"/>
    <xf numFmtId="0" fontId="155" fillId="24" borderId="175" xfId="104" applyFont="1" applyFill="1" applyBorder="1"/>
    <xf numFmtId="0" fontId="155" fillId="24" borderId="0" xfId="104" applyFont="1" applyFill="1" applyBorder="1" applyAlignment="1">
      <alignment horizontal="center" vertical="center"/>
    </xf>
    <xf numFmtId="169" fontId="167" fillId="24" borderId="109" xfId="110" applyNumberFormat="1" applyFont="1" applyFill="1" applyBorder="1" applyAlignment="1">
      <alignment horizontal="center" vertical="center"/>
    </xf>
    <xf numFmtId="169" fontId="167" fillId="24" borderId="108" xfId="110" applyNumberFormat="1" applyFont="1" applyFill="1" applyBorder="1" applyAlignment="1">
      <alignment horizontal="center" vertical="center"/>
    </xf>
    <xf numFmtId="10" fontId="107" fillId="24" borderId="118" xfId="110" applyNumberFormat="1" applyFont="1" applyFill="1" applyBorder="1" applyAlignment="1">
      <alignment horizontal="center" vertical="center"/>
    </xf>
    <xf numFmtId="0" fontId="107" fillId="24" borderId="118" xfId="104" applyFont="1" applyFill="1" applyBorder="1" applyAlignment="1">
      <alignment horizontal="center" vertical="center"/>
    </xf>
    <xf numFmtId="0" fontId="171" fillId="24" borderId="19" xfId="104" applyFont="1" applyFill="1" applyBorder="1" applyAlignment="1">
      <alignment horizontal="center" vertical="center"/>
    </xf>
    <xf numFmtId="0" fontId="8" fillId="66" borderId="29" xfId="104" applyFont="1" applyFill="1" applyBorder="1" applyAlignment="1">
      <alignment horizontal="center" vertical="center"/>
    </xf>
    <xf numFmtId="0" fontId="121" fillId="66" borderId="0" xfId="104" applyFont="1" applyFill="1" applyBorder="1" applyAlignment="1">
      <alignment horizontal="center" vertical="center"/>
    </xf>
    <xf numFmtId="0" fontId="8" fillId="24" borderId="176" xfId="104" applyFont="1" applyFill="1" applyBorder="1" applyAlignment="1">
      <alignment horizontal="center" vertical="center"/>
    </xf>
    <xf numFmtId="0" fontId="163" fillId="24" borderId="100" xfId="104" applyFont="1" applyFill="1" applyBorder="1" applyAlignment="1">
      <alignment horizontal="center" vertical="center"/>
    </xf>
    <xf numFmtId="1" fontId="8" fillId="24" borderId="100" xfId="104" applyNumberFormat="1" applyFont="1" applyFill="1" applyBorder="1" applyAlignment="1">
      <alignment horizontal="center" vertical="center"/>
    </xf>
    <xf numFmtId="0" fontId="8" fillId="24" borderId="175" xfId="104" applyFont="1" applyFill="1" applyBorder="1" applyAlignment="1">
      <alignment horizontal="left" vertical="center" indent="1"/>
    </xf>
    <xf numFmtId="0" fontId="155" fillId="24" borderId="176" xfId="104" applyFont="1" applyFill="1" applyBorder="1"/>
    <xf numFmtId="169" fontId="107" fillId="24" borderId="118" xfId="110" applyNumberFormat="1" applyFont="1" applyFill="1" applyBorder="1" applyAlignment="1">
      <alignment horizontal="center" vertical="center"/>
    </xf>
    <xf numFmtId="1" fontId="155" fillId="66" borderId="9" xfId="104" applyNumberFormat="1" applyFont="1" applyFill="1" applyBorder="1" applyAlignment="1">
      <alignment vertical="center"/>
    </xf>
    <xf numFmtId="9" fontId="167" fillId="24" borderId="100" xfId="110" applyFont="1" applyFill="1" applyBorder="1" applyAlignment="1">
      <alignment horizontal="center" vertical="center"/>
    </xf>
    <xf numFmtId="9" fontId="155" fillId="24" borderId="100" xfId="110" applyFont="1" applyFill="1" applyBorder="1" applyAlignment="1">
      <alignment horizontal="center" vertical="center"/>
    </xf>
    <xf numFmtId="2" fontId="8" fillId="24" borderId="176" xfId="104" applyNumberFormat="1" applyFont="1" applyFill="1" applyBorder="1" applyAlignment="1">
      <alignment horizontal="center" vertical="center"/>
    </xf>
    <xf numFmtId="2" fontId="8" fillId="24" borderId="100" xfId="104" applyNumberFormat="1" applyFont="1" applyFill="1" applyBorder="1" applyAlignment="1">
      <alignment horizontal="center" vertical="center"/>
    </xf>
    <xf numFmtId="0" fontId="167" fillId="24" borderId="0" xfId="104" applyFont="1" applyFill="1" applyBorder="1"/>
    <xf numFmtId="166" fontId="167" fillId="24" borderId="109" xfId="110" applyNumberFormat="1" applyFont="1" applyFill="1" applyBorder="1" applyAlignment="1">
      <alignment horizontal="center" vertical="center"/>
    </xf>
    <xf numFmtId="166" fontId="167" fillId="24" borderId="108" xfId="110" applyNumberFormat="1" applyFont="1" applyFill="1" applyBorder="1" applyAlignment="1">
      <alignment horizontal="center" vertical="center"/>
    </xf>
    <xf numFmtId="166" fontId="155" fillId="24" borderId="118" xfId="110" applyNumberFormat="1" applyFont="1" applyFill="1" applyBorder="1" applyAlignment="1">
      <alignment horizontal="center" vertical="center"/>
    </xf>
    <xf numFmtId="0" fontId="155" fillId="24" borderId="19" xfId="104" applyFont="1" applyFill="1" applyBorder="1" applyAlignment="1">
      <alignment horizontal="center" vertical="center"/>
    </xf>
    <xf numFmtId="0" fontId="155" fillId="24" borderId="100" xfId="104" applyFont="1" applyFill="1" applyBorder="1" applyAlignment="1">
      <alignment horizontal="center" vertical="center"/>
    </xf>
    <xf numFmtId="0" fontId="155" fillId="66" borderId="0" xfId="104" applyFont="1" applyFill="1" applyBorder="1" applyAlignment="1">
      <alignment horizontal="right" vertical="center"/>
    </xf>
    <xf numFmtId="0" fontId="155" fillId="66" borderId="0" xfId="104" applyFont="1" applyFill="1" applyBorder="1" applyAlignment="1">
      <alignment horizontal="center" vertical="center"/>
    </xf>
    <xf numFmtId="0" fontId="155" fillId="66" borderId="9" xfId="104" applyFont="1" applyFill="1" applyBorder="1" applyAlignment="1">
      <alignment vertical="center"/>
    </xf>
    <xf numFmtId="168" fontId="155" fillId="24" borderId="100" xfId="104" applyNumberFormat="1" applyFont="1" applyFill="1" applyBorder="1" applyAlignment="1">
      <alignment horizontal="center" vertical="center"/>
    </xf>
    <xf numFmtId="2" fontId="155" fillId="24" borderId="100" xfId="104" applyNumberFormat="1" applyFont="1" applyFill="1" applyBorder="1" applyAlignment="1">
      <alignment horizontal="center" vertical="center"/>
    </xf>
    <xf numFmtId="0" fontId="112" fillId="24" borderId="0" xfId="104" applyFont="1" applyFill="1" applyBorder="1" applyAlignment="1">
      <alignment horizontal="center" vertical="center"/>
    </xf>
    <xf numFmtId="0" fontId="30" fillId="24" borderId="29" xfId="104" applyFont="1" applyFill="1" applyBorder="1"/>
    <xf numFmtId="0" fontId="155" fillId="24" borderId="116" xfId="104" applyFont="1" applyFill="1" applyBorder="1" applyAlignment="1">
      <alignment horizontal="center" vertical="center"/>
    </xf>
    <xf numFmtId="0" fontId="155" fillId="66" borderId="220" xfId="104" applyFont="1" applyFill="1" applyBorder="1" applyAlignment="1">
      <alignment horizontal="center" vertical="center"/>
    </xf>
    <xf numFmtId="0" fontId="112" fillId="66" borderId="112" xfId="104" applyFont="1" applyFill="1" applyBorder="1" applyAlignment="1">
      <alignment horizontal="center" vertical="center"/>
    </xf>
    <xf numFmtId="0" fontId="155" fillId="66" borderId="112" xfId="104" applyFont="1" applyFill="1" applyBorder="1" applyAlignment="1">
      <alignment horizontal="center" vertical="center"/>
    </xf>
    <xf numFmtId="1" fontId="155" fillId="66" borderId="225" xfId="104" applyNumberFormat="1" applyFont="1" applyFill="1" applyBorder="1" applyAlignment="1">
      <alignment vertical="center"/>
    </xf>
    <xf numFmtId="0" fontId="155" fillId="66" borderId="221" xfId="104" applyFont="1" applyFill="1" applyBorder="1" applyAlignment="1">
      <alignment horizontal="left" vertical="center"/>
    </xf>
    <xf numFmtId="0" fontId="155" fillId="68" borderId="176" xfId="104" applyFont="1" applyFill="1" applyBorder="1" applyAlignment="1">
      <alignment horizontal="center" vertical="center"/>
    </xf>
    <xf numFmtId="0" fontId="167" fillId="68" borderId="100" xfId="104" applyFont="1" applyFill="1" applyBorder="1" applyAlignment="1">
      <alignment horizontal="center" vertical="center"/>
    </xf>
    <xf numFmtId="1" fontId="155" fillId="68" borderId="100" xfId="104" applyNumberFormat="1" applyFont="1" applyFill="1" applyBorder="1" applyAlignment="1">
      <alignment horizontal="center" vertical="center"/>
    </xf>
    <xf numFmtId="0" fontId="155" fillId="68" borderId="175" xfId="104" applyFont="1" applyFill="1" applyBorder="1" applyAlignment="1">
      <alignment horizontal="center" vertical="center"/>
    </xf>
    <xf numFmtId="0" fontId="155" fillId="24" borderId="220" xfId="104" applyFont="1" applyFill="1" applyBorder="1"/>
    <xf numFmtId="0" fontId="155" fillId="24" borderId="112" xfId="104" applyFont="1" applyFill="1" applyBorder="1"/>
    <xf numFmtId="0" fontId="155" fillId="24" borderId="221" xfId="104" applyFont="1" applyFill="1" applyBorder="1"/>
    <xf numFmtId="0" fontId="8" fillId="66" borderId="36" xfId="104" applyFont="1" applyFill="1" applyBorder="1" applyAlignment="1">
      <alignment horizontal="center" vertical="center"/>
    </xf>
    <xf numFmtId="0" fontId="8" fillId="66" borderId="18" xfId="104" applyFont="1" applyFill="1" applyBorder="1" applyAlignment="1">
      <alignment horizontal="right" vertical="center"/>
    </xf>
    <xf numFmtId="0" fontId="8" fillId="66" borderId="18" xfId="104" applyFont="1" applyFill="1" applyBorder="1" applyAlignment="1">
      <alignment horizontal="left" vertical="center"/>
    </xf>
    <xf numFmtId="0" fontId="8" fillId="66" borderId="226" xfId="104" applyFont="1" applyFill="1" applyBorder="1" applyAlignment="1">
      <alignment horizontal="center" vertical="center"/>
    </xf>
    <xf numFmtId="0" fontId="107" fillId="66" borderId="36" xfId="104" applyFont="1" applyFill="1" applyBorder="1" applyAlignment="1">
      <alignment horizontal="center" vertical="center"/>
    </xf>
    <xf numFmtId="0" fontId="8" fillId="66" borderId="18" xfId="104" applyFont="1" applyFill="1" applyBorder="1" applyAlignment="1">
      <alignment horizontal="center" vertical="center"/>
    </xf>
    <xf numFmtId="0" fontId="8" fillId="66" borderId="17" xfId="104" applyFont="1" applyFill="1" applyBorder="1" applyAlignment="1">
      <alignment horizontal="center" vertical="center"/>
    </xf>
    <xf numFmtId="2" fontId="84" fillId="27" borderId="227" xfId="104" applyNumberFormat="1" applyFont="1" applyFill="1" applyBorder="1" applyAlignment="1">
      <alignment vertical="center"/>
    </xf>
    <xf numFmtId="0" fontId="162" fillId="27" borderId="228" xfId="104" applyFont="1" applyFill="1" applyBorder="1" applyAlignment="1">
      <alignment vertical="center"/>
    </xf>
    <xf numFmtId="0" fontId="90" fillId="27" borderId="228" xfId="104" applyFont="1" applyFill="1" applyBorder="1" applyAlignment="1">
      <alignment vertical="center"/>
    </xf>
    <xf numFmtId="0" fontId="155" fillId="27" borderId="228" xfId="104" applyFont="1" applyFill="1" applyBorder="1" applyAlignment="1">
      <alignment vertical="center"/>
    </xf>
    <xf numFmtId="0" fontId="173" fillId="27" borderId="228" xfId="104" applyFont="1" applyFill="1" applyBorder="1" applyAlignment="1">
      <alignment vertical="center"/>
    </xf>
    <xf numFmtId="0" fontId="173" fillId="27" borderId="229" xfId="104" applyFont="1" applyFill="1" applyBorder="1" applyAlignment="1">
      <alignment vertical="center"/>
    </xf>
    <xf numFmtId="2" fontId="155" fillId="0" borderId="0" xfId="104" applyNumberFormat="1" applyFont="1" applyFill="1" applyAlignment="1">
      <alignment vertical="center"/>
    </xf>
    <xf numFmtId="0" fontId="155" fillId="24" borderId="117" xfId="104" applyFont="1" applyFill="1" applyBorder="1" applyAlignment="1">
      <alignment vertical="center"/>
    </xf>
    <xf numFmtId="0" fontId="155" fillId="24" borderId="116" xfId="104" applyFont="1" applyFill="1" applyBorder="1" applyAlignment="1">
      <alignment vertical="center"/>
    </xf>
    <xf numFmtId="0" fontId="155" fillId="24" borderId="119" xfId="104" applyFont="1" applyFill="1" applyBorder="1" applyAlignment="1">
      <alignment vertical="center"/>
    </xf>
    <xf numFmtId="2" fontId="155" fillId="66" borderId="79" xfId="104" applyNumberFormat="1" applyFont="1" applyFill="1" applyBorder="1" applyAlignment="1">
      <alignment horizontal="center" vertical="center"/>
    </xf>
    <xf numFmtId="2" fontId="155" fillId="66" borderId="78" xfId="104" applyNumberFormat="1" applyFont="1" applyFill="1" applyBorder="1" applyAlignment="1">
      <alignment horizontal="center" vertical="center"/>
    </xf>
    <xf numFmtId="170" fontId="155" fillId="66" borderId="78" xfId="104" applyNumberFormat="1" applyFont="1" applyFill="1" applyBorder="1" applyAlignment="1">
      <alignment horizontal="center" vertical="center"/>
    </xf>
    <xf numFmtId="2" fontId="155" fillId="66" borderId="178" xfId="104" applyNumberFormat="1" applyFont="1" applyFill="1" applyBorder="1" applyAlignment="1">
      <alignment horizontal="center" vertical="center"/>
    </xf>
    <xf numFmtId="170" fontId="155" fillId="66" borderId="178" xfId="104" applyNumberFormat="1" applyFont="1" applyFill="1" applyBorder="1" applyAlignment="1">
      <alignment horizontal="left" vertical="center"/>
    </xf>
    <xf numFmtId="0" fontId="8" fillId="66" borderId="177" xfId="104" applyFont="1" applyFill="1" applyBorder="1" applyAlignment="1">
      <alignment horizontal="right" vertical="center"/>
    </xf>
    <xf numFmtId="168" fontId="167" fillId="67" borderId="230" xfId="104" applyNumberFormat="1" applyFont="1" applyFill="1" applyBorder="1" applyAlignment="1">
      <alignment horizontal="center" vertical="center"/>
    </xf>
    <xf numFmtId="168" fontId="167" fillId="67" borderId="231" xfId="104" applyNumberFormat="1" applyFont="1" applyFill="1" applyBorder="1" applyAlignment="1">
      <alignment horizontal="center" vertical="center"/>
    </xf>
    <xf numFmtId="168" fontId="155" fillId="67" borderId="231" xfId="104" applyNumberFormat="1" applyFont="1" applyFill="1" applyBorder="1" applyAlignment="1">
      <alignment horizontal="center" vertical="center"/>
    </xf>
    <xf numFmtId="0" fontId="8" fillId="24" borderId="77" xfId="104" applyFont="1" applyFill="1" applyBorder="1" applyAlignment="1">
      <alignment horizontal="right" vertical="center"/>
    </xf>
    <xf numFmtId="2" fontId="155" fillId="66" borderId="29" xfId="104" applyNumberFormat="1" applyFont="1" applyFill="1" applyBorder="1" applyAlignment="1">
      <alignment horizontal="center" vertical="center"/>
    </xf>
    <xf numFmtId="2" fontId="155" fillId="66" borderId="0" xfId="104" applyNumberFormat="1" applyFont="1" applyFill="1" applyBorder="1" applyAlignment="1">
      <alignment horizontal="center" vertical="center"/>
    </xf>
    <xf numFmtId="0" fontId="8" fillId="66" borderId="100" xfId="104" applyFont="1" applyFill="1" applyBorder="1" applyAlignment="1">
      <alignment horizontal="right" vertical="center"/>
    </xf>
    <xf numFmtId="2" fontId="155" fillId="66" borderId="100" xfId="104" applyNumberFormat="1" applyFont="1" applyFill="1" applyBorder="1" applyAlignment="1">
      <alignment horizontal="center" vertical="center"/>
    </xf>
    <xf numFmtId="170" fontId="155" fillId="66" borderId="100" xfId="104" applyNumberFormat="1" applyFont="1" applyFill="1" applyBorder="1" applyAlignment="1">
      <alignment horizontal="left" vertical="center"/>
    </xf>
    <xf numFmtId="0" fontId="8" fillId="66" borderId="175" xfId="104" applyFont="1" applyFill="1" applyBorder="1" applyAlignment="1">
      <alignment horizontal="right" vertical="center"/>
    </xf>
    <xf numFmtId="0" fontId="155" fillId="24" borderId="29" xfId="104" applyFont="1" applyFill="1" applyBorder="1" applyAlignment="1">
      <alignment vertical="center"/>
    </xf>
    <xf numFmtId="0" fontId="99" fillId="24" borderId="19" xfId="104" applyFont="1" applyFill="1" applyBorder="1" applyAlignment="1">
      <alignment vertical="center"/>
    </xf>
    <xf numFmtId="170" fontId="155" fillId="66" borderId="0" xfId="104" applyNumberFormat="1" applyFont="1" applyFill="1" applyBorder="1" applyAlignment="1">
      <alignment horizontal="center" vertical="center"/>
    </xf>
    <xf numFmtId="2" fontId="155" fillId="66" borderId="100" xfId="104" applyNumberFormat="1" applyFont="1" applyFill="1" applyBorder="1" applyAlignment="1">
      <alignment horizontal="left" vertical="center"/>
    </xf>
    <xf numFmtId="2" fontId="155" fillId="24" borderId="0" xfId="104" applyNumberFormat="1" applyFont="1" applyFill="1" applyBorder="1" applyAlignment="1">
      <alignment vertical="center"/>
    </xf>
    <xf numFmtId="0" fontId="155" fillId="24" borderId="29" xfId="104" applyFont="1" applyFill="1" applyBorder="1" applyAlignment="1">
      <alignment horizontal="center" vertical="center"/>
    </xf>
    <xf numFmtId="0" fontId="112" fillId="67" borderId="109" xfId="104" applyFont="1" applyFill="1" applyBorder="1" applyAlignment="1">
      <alignment vertical="center"/>
    </xf>
    <xf numFmtId="0" fontId="112" fillId="67" borderId="108" xfId="104" applyFont="1" applyFill="1" applyBorder="1" applyAlignment="1">
      <alignment vertical="center"/>
    </xf>
    <xf numFmtId="2" fontId="155" fillId="67" borderId="118" xfId="104" applyNumberFormat="1" applyFont="1" applyFill="1" applyBorder="1" applyAlignment="1">
      <alignment vertical="center"/>
    </xf>
    <xf numFmtId="0" fontId="167" fillId="67" borderId="108" xfId="104" applyFont="1" applyFill="1" applyBorder="1" applyAlignment="1">
      <alignment vertical="center"/>
    </xf>
    <xf numFmtId="2" fontId="167" fillId="67" borderId="118" xfId="104" applyNumberFormat="1" applyFont="1" applyFill="1" applyBorder="1" applyAlignment="1">
      <alignment vertical="center"/>
    </xf>
    <xf numFmtId="0" fontId="8" fillId="66" borderId="100" xfId="104" applyFont="1" applyFill="1" applyBorder="1" applyAlignment="1">
      <alignment horizontal="center" vertical="center"/>
    </xf>
    <xf numFmtId="0" fontId="8" fillId="24" borderId="0" xfId="104" applyFont="1" applyFill="1" applyBorder="1" applyAlignment="1">
      <alignment vertical="center"/>
    </xf>
    <xf numFmtId="0" fontId="8" fillId="24" borderId="19" xfId="104" applyFont="1" applyFill="1" applyBorder="1" applyAlignment="1">
      <alignment vertical="center"/>
    </xf>
    <xf numFmtId="2" fontId="155" fillId="66" borderId="220" xfId="104" applyNumberFormat="1" applyFont="1" applyFill="1" applyBorder="1" applyAlignment="1">
      <alignment horizontal="center" vertical="center"/>
    </xf>
    <xf numFmtId="2" fontId="155" fillId="66" borderId="112" xfId="104" applyNumberFormat="1" applyFont="1" applyFill="1" applyBorder="1" applyAlignment="1">
      <alignment horizontal="center" vertical="center"/>
    </xf>
    <xf numFmtId="170" fontId="155" fillId="66" borderId="112" xfId="104" applyNumberFormat="1" applyFont="1" applyFill="1" applyBorder="1" applyAlignment="1">
      <alignment horizontal="center" vertical="center"/>
    </xf>
    <xf numFmtId="0" fontId="8" fillId="66" borderId="18" xfId="104" applyFont="1" applyFill="1" applyBorder="1" applyAlignment="1">
      <alignment vertical="center"/>
    </xf>
    <xf numFmtId="0" fontId="8" fillId="66" borderId="232" xfId="104" applyFont="1" applyFill="1" applyBorder="1" applyAlignment="1">
      <alignment horizontal="left" vertical="center"/>
    </xf>
    <xf numFmtId="0" fontId="155" fillId="0" borderId="0" xfId="104" applyFont="1" applyFill="1" applyBorder="1" applyAlignment="1">
      <alignment vertical="center"/>
    </xf>
    <xf numFmtId="166" fontId="155" fillId="0" borderId="0" xfId="104" applyNumberFormat="1" applyFont="1" applyFill="1" applyBorder="1" applyAlignment="1">
      <alignment vertical="center"/>
    </xf>
    <xf numFmtId="0" fontId="107" fillId="24" borderId="29" xfId="104" applyFont="1" applyFill="1" applyBorder="1" applyAlignment="1">
      <alignment horizontal="center" vertical="center"/>
    </xf>
    <xf numFmtId="0" fontId="155" fillId="24" borderId="121" xfId="104" applyFont="1" applyFill="1" applyBorder="1" applyAlignment="1">
      <alignment horizontal="center" vertical="center"/>
    </xf>
    <xf numFmtId="2" fontId="155" fillId="62" borderId="233" xfId="104" applyNumberFormat="1" applyFont="1" applyFill="1" applyBorder="1" applyAlignment="1">
      <alignment horizontal="center" vertical="center"/>
    </xf>
    <xf numFmtId="2" fontId="155" fillId="62" borderId="234" xfId="104" applyNumberFormat="1" applyFont="1" applyFill="1" applyBorder="1" applyAlignment="1">
      <alignment horizontal="center" vertical="center"/>
    </xf>
    <xf numFmtId="170" fontId="155" fillId="62" borderId="234" xfId="104" applyNumberFormat="1" applyFont="1" applyFill="1" applyBorder="1" applyAlignment="1">
      <alignment horizontal="center" vertical="center"/>
    </xf>
    <xf numFmtId="170" fontId="155" fillId="62" borderId="231" xfId="104" applyNumberFormat="1" applyFont="1" applyFill="1" applyBorder="1" applyAlignment="1">
      <alignment horizontal="center" vertical="center"/>
    </xf>
    <xf numFmtId="0" fontId="155" fillId="62" borderId="222" xfId="104" applyFont="1" applyFill="1" applyBorder="1" applyAlignment="1">
      <alignment vertical="center"/>
    </xf>
    <xf numFmtId="0" fontId="46" fillId="0" borderId="0" xfId="104" applyFont="1" applyFill="1" applyBorder="1"/>
    <xf numFmtId="0" fontId="46" fillId="0" borderId="0" xfId="104" applyFont="1" applyFill="1" applyBorder="1" applyAlignment="1">
      <alignment vertical="center"/>
    </xf>
    <xf numFmtId="2" fontId="155" fillId="62" borderId="235" xfId="104" applyNumberFormat="1" applyFont="1" applyFill="1" applyBorder="1" applyAlignment="1">
      <alignment horizontal="center" vertical="center"/>
    </xf>
    <xf numFmtId="2" fontId="155" fillId="62" borderId="108" xfId="104" applyNumberFormat="1" applyFont="1" applyFill="1" applyBorder="1" applyAlignment="1">
      <alignment horizontal="center" vertical="center"/>
    </xf>
    <xf numFmtId="170" fontId="155" fillId="62" borderId="108" xfId="104" applyNumberFormat="1" applyFont="1" applyFill="1" applyBorder="1" applyAlignment="1">
      <alignment horizontal="center" vertical="center"/>
    </xf>
    <xf numFmtId="170" fontId="155" fillId="62" borderId="118" xfId="104" applyNumberFormat="1" applyFont="1" applyFill="1" applyBorder="1" applyAlignment="1">
      <alignment horizontal="center" vertical="center"/>
    </xf>
    <xf numFmtId="0" fontId="155" fillId="62" borderId="236" xfId="104" applyFont="1" applyFill="1" applyBorder="1" applyAlignment="1">
      <alignment vertical="center"/>
    </xf>
    <xf numFmtId="0" fontId="46" fillId="62" borderId="79" xfId="104" applyFont="1" applyFill="1" applyBorder="1"/>
    <xf numFmtId="0" fontId="46" fillId="62" borderId="78" xfId="104" applyFont="1" applyFill="1" applyBorder="1"/>
    <xf numFmtId="0" fontId="46" fillId="62" borderId="77" xfId="104" applyFont="1" applyFill="1" applyBorder="1" applyAlignment="1">
      <alignment vertical="center"/>
    </xf>
    <xf numFmtId="0" fontId="107" fillId="24" borderId="176" xfId="104" applyFont="1" applyFill="1" applyBorder="1" applyAlignment="1">
      <alignment horizontal="center" vertical="center"/>
    </xf>
    <xf numFmtId="1" fontId="155" fillId="24" borderId="100" xfId="104" applyNumberFormat="1" applyFont="1" applyFill="1" applyBorder="1" applyAlignment="1">
      <alignment horizontal="right" vertical="center"/>
    </xf>
    <xf numFmtId="0" fontId="8" fillId="24" borderId="175" xfId="104" applyFont="1" applyFill="1" applyBorder="1" applyAlignment="1">
      <alignment vertical="center"/>
    </xf>
    <xf numFmtId="2" fontId="155" fillId="24" borderId="237" xfId="104" applyNumberFormat="1" applyFont="1" applyFill="1" applyBorder="1" applyAlignment="1">
      <alignment horizontal="center" vertical="center"/>
    </xf>
    <xf numFmtId="2" fontId="155" fillId="24" borderId="0" xfId="104" applyNumberFormat="1" applyFont="1" applyFill="1" applyBorder="1" applyAlignment="1">
      <alignment horizontal="center" vertical="center"/>
    </xf>
    <xf numFmtId="170" fontId="155" fillId="24" borderId="0" xfId="104" applyNumberFormat="1" applyFont="1" applyFill="1" applyBorder="1" applyAlignment="1">
      <alignment horizontal="center" vertical="center"/>
    </xf>
    <xf numFmtId="170" fontId="155" fillId="24" borderId="115" xfId="104" applyNumberFormat="1" applyFont="1" applyFill="1" applyBorder="1" applyAlignment="1">
      <alignment horizontal="center" vertical="center"/>
    </xf>
    <xf numFmtId="0" fontId="155" fillId="62" borderId="238" xfId="104" applyFont="1" applyFill="1" applyBorder="1" applyAlignment="1">
      <alignment vertical="center"/>
    </xf>
    <xf numFmtId="0" fontId="106" fillId="24" borderId="19" xfId="104" applyFont="1" applyFill="1" applyBorder="1" applyAlignment="1">
      <alignment horizontal="center" vertical="center"/>
    </xf>
    <xf numFmtId="2" fontId="155" fillId="24" borderId="176" xfId="104" applyNumberFormat="1" applyFont="1" applyFill="1" applyBorder="1" applyAlignment="1">
      <alignment horizontal="center" vertical="center"/>
    </xf>
    <xf numFmtId="170" fontId="155" fillId="24" borderId="100" xfId="104" applyNumberFormat="1" applyFont="1" applyFill="1" applyBorder="1" applyAlignment="1">
      <alignment horizontal="center" vertical="center"/>
    </xf>
    <xf numFmtId="0" fontId="155" fillId="24" borderId="175" xfId="104" applyFont="1" applyFill="1" applyBorder="1" applyAlignment="1">
      <alignment vertical="center"/>
    </xf>
    <xf numFmtId="0" fontId="155" fillId="24" borderId="176" xfId="104" applyFont="1" applyFill="1" applyBorder="1" applyAlignment="1">
      <alignment vertical="center"/>
    </xf>
    <xf numFmtId="0" fontId="155" fillId="24" borderId="100" xfId="104" applyFont="1" applyFill="1" applyBorder="1" applyAlignment="1">
      <alignment vertical="center"/>
    </xf>
    <xf numFmtId="168" fontId="155" fillId="24" borderId="100" xfId="104" applyNumberFormat="1" applyFont="1" applyFill="1" applyBorder="1" applyAlignment="1">
      <alignment horizontal="right" vertical="center"/>
    </xf>
    <xf numFmtId="0" fontId="107" fillId="24" borderId="111" xfId="104" applyFont="1" applyFill="1" applyBorder="1" applyAlignment="1">
      <alignment horizontal="center" vertical="center"/>
    </xf>
    <xf numFmtId="2" fontId="155" fillId="24" borderId="100" xfId="104" applyNumberFormat="1" applyFont="1" applyFill="1" applyBorder="1" applyAlignment="1">
      <alignment horizontal="right" vertical="center"/>
    </xf>
    <xf numFmtId="0" fontId="155" fillId="24" borderId="175" xfId="104" applyFont="1" applyFill="1" applyBorder="1" applyAlignment="1">
      <alignment horizontal="center" vertical="center"/>
    </xf>
    <xf numFmtId="1" fontId="155" fillId="24" borderId="0" xfId="104" applyNumberFormat="1" applyFont="1" applyFill="1" applyBorder="1" applyAlignment="1">
      <alignment horizontal="center" vertical="center"/>
    </xf>
    <xf numFmtId="0" fontId="155" fillId="24" borderId="100" xfId="104" applyFont="1" applyFill="1" applyBorder="1" applyAlignment="1">
      <alignment horizontal="right" vertical="center"/>
    </xf>
    <xf numFmtId="2" fontId="90" fillId="0" borderId="98" xfId="104" applyNumberFormat="1" applyFont="1" applyFill="1" applyBorder="1" applyAlignment="1">
      <alignment horizontal="center" vertical="center"/>
    </xf>
    <xf numFmtId="3" fontId="155" fillId="24" borderId="100" xfId="104" applyNumberFormat="1" applyFont="1" applyFill="1" applyBorder="1" applyAlignment="1">
      <alignment horizontal="right" vertical="center"/>
    </xf>
    <xf numFmtId="0" fontId="8" fillId="66" borderId="212" xfId="104" applyFont="1" applyFill="1" applyBorder="1" applyAlignment="1">
      <alignment horizontal="center" vertical="center"/>
    </xf>
    <xf numFmtId="0" fontId="8" fillId="66" borderId="213" xfId="104" applyFont="1" applyFill="1" applyBorder="1" applyAlignment="1">
      <alignment vertical="center"/>
    </xf>
    <xf numFmtId="0" fontId="8" fillId="66" borderId="213" xfId="104" applyFont="1" applyFill="1" applyBorder="1" applyAlignment="1">
      <alignment horizontal="center" vertical="center"/>
    </xf>
    <xf numFmtId="0" fontId="8" fillId="66" borderId="215" xfId="104" applyFont="1" applyFill="1" applyBorder="1" applyAlignment="1">
      <alignment horizontal="center" vertical="center"/>
    </xf>
    <xf numFmtId="0" fontId="8" fillId="66" borderId="212" xfId="104" applyFont="1" applyFill="1" applyBorder="1" applyAlignment="1">
      <alignment vertical="center"/>
    </xf>
    <xf numFmtId="0" fontId="155" fillId="24" borderId="220" xfId="104" applyFont="1" applyFill="1" applyBorder="1" applyAlignment="1">
      <alignment vertical="center"/>
    </xf>
    <xf numFmtId="0" fontId="155" fillId="24" borderId="112" xfId="104" applyFont="1" applyFill="1" applyBorder="1" applyAlignment="1">
      <alignment vertical="center"/>
    </xf>
    <xf numFmtId="0" fontId="90" fillId="24" borderId="221" xfId="104" applyFont="1" applyFill="1" applyBorder="1" applyAlignment="1">
      <alignment vertical="center"/>
    </xf>
    <xf numFmtId="0" fontId="6" fillId="0" borderId="0" xfId="104" applyFont="1" applyFill="1" applyAlignment="1">
      <alignment vertical="center"/>
    </xf>
    <xf numFmtId="0" fontId="155" fillId="24" borderId="116" xfId="104" applyFont="1" applyFill="1" applyBorder="1" applyAlignment="1">
      <alignment horizontal="left" vertical="center" indent="1"/>
    </xf>
    <xf numFmtId="0" fontId="155" fillId="24" borderId="116" xfId="104" applyFont="1" applyFill="1" applyBorder="1" applyAlignment="1">
      <alignment horizontal="right" vertical="center"/>
    </xf>
    <xf numFmtId="0" fontId="155" fillId="24" borderId="119" xfId="104" applyFont="1" applyFill="1" applyBorder="1" applyAlignment="1">
      <alignment horizontal="right" vertical="center"/>
    </xf>
    <xf numFmtId="0" fontId="78" fillId="0" borderId="0" xfId="104" applyFont="1" applyFill="1"/>
    <xf numFmtId="0" fontId="78" fillId="0" borderId="0" xfId="104" applyFont="1" applyFill="1" applyAlignment="1">
      <alignment vertical="center"/>
    </xf>
    <xf numFmtId="0" fontId="78" fillId="24" borderId="79" xfId="104" applyFont="1" applyFill="1" applyBorder="1" applyAlignment="1">
      <alignment vertical="center"/>
    </xf>
    <xf numFmtId="0" fontId="155" fillId="24" borderId="78" xfId="104" applyFont="1" applyFill="1" applyBorder="1" applyAlignment="1">
      <alignment horizontal="center" vertical="center"/>
    </xf>
    <xf numFmtId="0" fontId="78" fillId="24" borderId="78" xfId="104" applyFont="1" applyFill="1" applyBorder="1" applyAlignment="1">
      <alignment vertical="center"/>
    </xf>
    <xf numFmtId="0" fontId="155" fillId="24" borderId="78" xfId="104" applyFont="1" applyFill="1" applyBorder="1" applyAlignment="1">
      <alignment horizontal="left" vertical="center" indent="1"/>
    </xf>
    <xf numFmtId="166" fontId="90" fillId="23" borderId="230" xfId="104" applyNumberFormat="1" applyFont="1" applyFill="1" applyBorder="1" applyAlignment="1">
      <alignment horizontal="center" vertical="center"/>
    </xf>
    <xf numFmtId="0" fontId="155" fillId="24" borderId="78" xfId="104" applyFont="1" applyFill="1" applyBorder="1" applyAlignment="1">
      <alignment horizontal="right" vertical="center"/>
    </xf>
    <xf numFmtId="0" fontId="155" fillId="24" borderId="77" xfId="104" applyFont="1" applyFill="1" applyBorder="1" applyAlignment="1">
      <alignment horizontal="right" vertical="center"/>
    </xf>
    <xf numFmtId="0" fontId="78" fillId="24" borderId="29" xfId="104" applyFont="1" applyFill="1" applyBorder="1" applyAlignment="1">
      <alignment vertical="center"/>
    </xf>
    <xf numFmtId="0" fontId="78" fillId="24" borderId="0" xfId="104" applyFont="1" applyFill="1" applyBorder="1" applyAlignment="1">
      <alignment vertical="center"/>
    </xf>
    <xf numFmtId="0" fontId="155" fillId="24" borderId="0" xfId="104" applyFont="1" applyFill="1" applyBorder="1" applyAlignment="1">
      <alignment horizontal="left" vertical="center" indent="1"/>
    </xf>
    <xf numFmtId="2" fontId="90" fillId="23" borderId="121" xfId="104" applyNumberFormat="1" applyFont="1" applyFill="1" applyBorder="1" applyAlignment="1">
      <alignment horizontal="center" vertical="center"/>
    </xf>
    <xf numFmtId="0" fontId="155" fillId="24" borderId="0" xfId="104" applyFont="1" applyFill="1" applyBorder="1" applyAlignment="1">
      <alignment horizontal="right" vertical="center"/>
    </xf>
    <xf numFmtId="0" fontId="155" fillId="24" borderId="19" xfId="104" applyFont="1" applyFill="1" applyBorder="1" applyAlignment="1">
      <alignment horizontal="right" vertical="center"/>
    </xf>
    <xf numFmtId="0" fontId="155" fillId="24" borderId="0" xfId="104" applyFont="1" applyFill="1" applyBorder="1" applyAlignment="1">
      <alignment horizontal="left" vertical="center"/>
    </xf>
    <xf numFmtId="0" fontId="155" fillId="24" borderId="19" xfId="104" applyFont="1" applyFill="1" applyBorder="1" applyAlignment="1">
      <alignment horizontal="left" vertical="center"/>
    </xf>
    <xf numFmtId="0" fontId="99" fillId="24" borderId="19" xfId="104" applyFont="1" applyFill="1" applyBorder="1" applyAlignment="1">
      <alignment horizontal="center" vertical="center"/>
    </xf>
    <xf numFmtId="0" fontId="99" fillId="24" borderId="19" xfId="104" applyFont="1" applyFill="1" applyBorder="1" applyAlignment="1">
      <alignment horizontal="left" vertical="center"/>
    </xf>
    <xf numFmtId="0" fontId="155" fillId="24" borderId="112" xfId="104" applyFont="1" applyFill="1" applyBorder="1" applyAlignment="1">
      <alignment horizontal="left" vertical="center" indent="1"/>
    </xf>
    <xf numFmtId="0" fontId="90" fillId="24" borderId="112" xfId="104" applyFont="1" applyFill="1" applyBorder="1" applyAlignment="1">
      <alignment horizontal="left" vertical="center"/>
    </xf>
    <xf numFmtId="0" fontId="155" fillId="24" borderId="112" xfId="104" applyFont="1" applyFill="1" applyBorder="1" applyAlignment="1">
      <alignment horizontal="right" vertical="center"/>
    </xf>
    <xf numFmtId="0" fontId="99" fillId="24" borderId="221" xfId="104" applyFont="1" applyFill="1" applyBorder="1" applyAlignment="1">
      <alignment horizontal="left" vertical="center"/>
    </xf>
    <xf numFmtId="0" fontId="114" fillId="24" borderId="116" xfId="104" applyFont="1" applyFill="1" applyBorder="1" applyAlignment="1">
      <alignment horizontal="center" vertical="center"/>
    </xf>
    <xf numFmtId="0" fontId="114" fillId="24" borderId="238" xfId="104" applyFont="1" applyFill="1" applyBorder="1" applyAlignment="1">
      <alignment vertical="center" wrapText="1"/>
    </xf>
    <xf numFmtId="1" fontId="90" fillId="0" borderId="98" xfId="104" applyNumberFormat="1" applyFont="1" applyFill="1" applyBorder="1" applyAlignment="1">
      <alignment horizontal="center" vertical="center"/>
    </xf>
    <xf numFmtId="0" fontId="30" fillId="0" borderId="0" xfId="104" applyFont="1" applyFill="1" applyAlignment="1">
      <alignment horizontal="left" vertical="center"/>
    </xf>
    <xf numFmtId="1" fontId="90" fillId="0" borderId="98" xfId="104" applyNumberFormat="1" applyFont="1" applyFill="1" applyBorder="1" applyAlignment="1">
      <alignment horizontal="left" vertical="center"/>
    </xf>
    <xf numFmtId="0" fontId="114" fillId="24" borderId="19" xfId="104" applyFont="1" applyFill="1" applyBorder="1" applyAlignment="1">
      <alignment vertical="center" wrapText="1"/>
    </xf>
    <xf numFmtId="0" fontId="78" fillId="24" borderId="220" xfId="104" applyFont="1" applyFill="1" applyBorder="1" applyAlignment="1">
      <alignment vertical="center"/>
    </xf>
    <xf numFmtId="0" fontId="114" fillId="24" borderId="112" xfId="104" applyFont="1" applyFill="1" applyBorder="1" applyAlignment="1">
      <alignment vertical="center"/>
    </xf>
    <xf numFmtId="0" fontId="114" fillId="24" borderId="112" xfId="104" applyFont="1" applyFill="1" applyBorder="1" applyAlignment="1">
      <alignment horizontal="center" vertical="center"/>
    </xf>
    <xf numFmtId="0" fontId="114" fillId="24" borderId="0" xfId="104" applyFont="1" applyFill="1" applyBorder="1" applyAlignment="1">
      <alignment vertical="center"/>
    </xf>
    <xf numFmtId="0" fontId="114" fillId="24" borderId="0" xfId="104" applyFont="1" applyFill="1" applyBorder="1" applyAlignment="1">
      <alignment horizontal="center" vertical="center"/>
    </xf>
    <xf numFmtId="0" fontId="155" fillId="24" borderId="19" xfId="104" applyFont="1" applyFill="1" applyBorder="1" applyAlignment="1">
      <alignment horizontal="right" vertical="center" wrapText="1"/>
    </xf>
    <xf numFmtId="0" fontId="78" fillId="24" borderId="0" xfId="104" applyFont="1" applyFill="1" applyBorder="1" applyAlignment="1">
      <alignment vertical="center" wrapText="1"/>
    </xf>
    <xf numFmtId="0" fontId="78" fillId="24" borderId="0" xfId="104" applyFont="1" applyFill="1" applyBorder="1"/>
    <xf numFmtId="0" fontId="155" fillId="67" borderId="179" xfId="104" applyFont="1" applyFill="1" applyBorder="1" applyAlignment="1">
      <alignment horizontal="center" vertical="center"/>
    </xf>
    <xf numFmtId="0" fontId="155" fillId="67" borderId="177" xfId="104" applyFont="1" applyFill="1" applyBorder="1" applyAlignment="1">
      <alignment horizontal="center" vertical="center"/>
    </xf>
    <xf numFmtId="0" fontId="155" fillId="67" borderId="176" xfId="104" applyFont="1" applyFill="1" applyBorder="1" applyAlignment="1">
      <alignment horizontal="center" vertical="center"/>
    </xf>
    <xf numFmtId="0" fontId="155" fillId="67" borderId="175" xfId="104" applyFont="1" applyFill="1" applyBorder="1" applyAlignment="1">
      <alignment horizontal="center" vertical="center"/>
    </xf>
    <xf numFmtId="1" fontId="155" fillId="24" borderId="110" xfId="104" applyNumberFormat="1" applyFont="1" applyFill="1" applyBorder="1" applyAlignment="1">
      <alignment horizontal="center" vertical="center"/>
    </xf>
    <xf numFmtId="0" fontId="98" fillId="0" borderId="0" xfId="104" applyFont="1" applyFill="1" applyBorder="1" applyAlignment="1">
      <alignment vertical="center" wrapText="1"/>
    </xf>
    <xf numFmtId="0" fontId="98" fillId="24" borderId="29" xfId="104" applyFont="1" applyFill="1" applyBorder="1" applyAlignment="1">
      <alignment vertical="center" wrapText="1"/>
    </xf>
    <xf numFmtId="0" fontId="98" fillId="24" borderId="0" xfId="104" applyFont="1" applyFill="1" applyBorder="1" applyAlignment="1">
      <alignment vertical="center" wrapText="1"/>
    </xf>
    <xf numFmtId="0" fontId="98" fillId="24" borderId="0" xfId="104" applyFont="1" applyFill="1" applyBorder="1" applyAlignment="1">
      <alignment horizontal="left" vertical="center" indent="1"/>
    </xf>
    <xf numFmtId="169" fontId="90" fillId="0" borderId="120" xfId="104" applyNumberFormat="1" applyFont="1" applyFill="1" applyBorder="1" applyAlignment="1">
      <alignment horizontal="center" vertical="center" wrapText="1"/>
    </xf>
    <xf numFmtId="0" fontId="155" fillId="69" borderId="79" xfId="104" applyFont="1" applyFill="1" applyBorder="1" applyAlignment="1">
      <alignment vertical="center"/>
    </xf>
    <xf numFmtId="0" fontId="155" fillId="69" borderId="78" xfId="104" applyFont="1" applyFill="1" applyBorder="1" applyAlignment="1">
      <alignment vertical="center"/>
    </xf>
    <xf numFmtId="0" fontId="155" fillId="69" borderId="77" xfId="104" applyFont="1" applyFill="1" applyBorder="1" applyAlignment="1">
      <alignment vertical="center"/>
    </xf>
    <xf numFmtId="0" fontId="155" fillId="67" borderId="176" xfId="104" applyFont="1" applyFill="1" applyBorder="1" applyAlignment="1">
      <alignment horizontal="center" vertical="center" wrapText="1"/>
    </xf>
    <xf numFmtId="0" fontId="155" fillId="67" borderId="175" xfId="104" applyFont="1" applyFill="1" applyBorder="1" applyAlignment="1">
      <alignment horizontal="center" vertical="center" wrapText="1"/>
    </xf>
    <xf numFmtId="3" fontId="90" fillId="0" borderId="120" xfId="104" applyNumberFormat="1" applyFont="1" applyFill="1" applyBorder="1" applyAlignment="1">
      <alignment horizontal="center" vertical="center"/>
    </xf>
    <xf numFmtId="0" fontId="155" fillId="0" borderId="0" xfId="104" applyFont="1" applyFill="1" applyAlignment="1">
      <alignment wrapText="1"/>
    </xf>
    <xf numFmtId="0" fontId="155" fillId="0" borderId="0" xfId="104" applyFont="1" applyFill="1" applyAlignment="1">
      <alignment vertical="center" wrapText="1"/>
    </xf>
    <xf numFmtId="0" fontId="155" fillId="63" borderId="179" xfId="104" applyFont="1" applyFill="1" applyBorder="1" applyAlignment="1">
      <alignment horizontal="center" vertical="center"/>
    </xf>
    <xf numFmtId="0" fontId="155" fillId="63" borderId="178" xfId="104" applyFont="1" applyFill="1" applyBorder="1" applyAlignment="1">
      <alignment horizontal="center" vertical="center"/>
    </xf>
    <xf numFmtId="0" fontId="155" fillId="24" borderId="178" xfId="104" applyFont="1" applyFill="1" applyBorder="1" applyAlignment="1">
      <alignment horizontal="center" vertical="center"/>
    </xf>
    <xf numFmtId="0" fontId="155" fillId="24" borderId="177" xfId="104" applyFont="1" applyFill="1" applyBorder="1" applyAlignment="1">
      <alignment horizontal="center" vertical="center" wrapText="1"/>
    </xf>
    <xf numFmtId="0" fontId="30" fillId="0" borderId="0" xfId="104" applyFont="1" applyFill="1" applyBorder="1" applyAlignment="1">
      <alignment vertical="center" wrapText="1"/>
    </xf>
    <xf numFmtId="0" fontId="78" fillId="24" borderId="29" xfId="104" applyFont="1" applyFill="1" applyBorder="1" applyAlignment="1">
      <alignment vertical="center" wrapText="1"/>
    </xf>
    <xf numFmtId="0" fontId="97" fillId="24" borderId="0" xfId="104" applyFont="1" applyFill="1" applyBorder="1" applyAlignment="1">
      <alignment horizontal="left" vertical="center" wrapText="1" indent="1"/>
    </xf>
    <xf numFmtId="0" fontId="155" fillId="24" borderId="0" xfId="104" applyFont="1" applyFill="1" applyBorder="1" applyAlignment="1">
      <alignment horizontal="right" vertical="center" wrapText="1"/>
    </xf>
    <xf numFmtId="0" fontId="99" fillId="24" borderId="19" xfId="104" applyFont="1" applyFill="1" applyBorder="1" applyAlignment="1">
      <alignment horizontal="left" vertical="center" wrapText="1"/>
    </xf>
    <xf numFmtId="0" fontId="8" fillId="67" borderId="212" xfId="104" applyFont="1" applyFill="1" applyBorder="1" applyAlignment="1">
      <alignment horizontal="center" vertical="center" wrapText="1"/>
    </xf>
    <xf numFmtId="0" fontId="8" fillId="67" borderId="213" xfId="104" applyFont="1" applyFill="1" applyBorder="1" applyAlignment="1">
      <alignment horizontal="center" vertical="center" wrapText="1"/>
    </xf>
    <xf numFmtId="0" fontId="8" fillId="67" borderId="18" xfId="104" applyFont="1" applyFill="1" applyBorder="1" applyAlignment="1">
      <alignment horizontal="center" vertical="center"/>
    </xf>
    <xf numFmtId="0" fontId="8" fillId="67" borderId="17" xfId="104" applyFont="1" applyFill="1" applyBorder="1" applyAlignment="1">
      <alignment horizontal="left" vertical="center"/>
    </xf>
    <xf numFmtId="0" fontId="30" fillId="24" borderId="0" xfId="104" applyFont="1" applyFill="1" applyBorder="1" applyAlignment="1">
      <alignment vertical="center"/>
    </xf>
    <xf numFmtId="0" fontId="30" fillId="24" borderId="0" xfId="104" applyFont="1" applyFill="1" applyBorder="1"/>
    <xf numFmtId="0" fontId="46" fillId="24" borderId="221" xfId="104" applyFont="1" applyFill="1" applyBorder="1" applyAlignment="1">
      <alignment vertical="center"/>
    </xf>
    <xf numFmtId="2" fontId="84" fillId="65" borderId="227" xfId="104" applyNumberFormat="1" applyFont="1" applyFill="1" applyBorder="1" applyAlignment="1">
      <alignment vertical="center"/>
    </xf>
    <xf numFmtId="0" fontId="162" fillId="65" borderId="228" xfId="104" applyFont="1" applyFill="1" applyBorder="1" applyAlignment="1">
      <alignment vertical="center"/>
    </xf>
    <xf numFmtId="0" fontId="90" fillId="65" borderId="228" xfId="104" applyFont="1" applyFill="1" applyBorder="1" applyAlignment="1">
      <alignment vertical="center"/>
    </xf>
    <xf numFmtId="0" fontId="173" fillId="65" borderId="228" xfId="104" applyFont="1" applyFill="1" applyBorder="1" applyAlignment="1">
      <alignment vertical="center"/>
    </xf>
    <xf numFmtId="0" fontId="173" fillId="65" borderId="229" xfId="104" applyFont="1" applyFill="1" applyBorder="1" applyAlignment="1">
      <alignment vertical="center"/>
    </xf>
    <xf numFmtId="0" fontId="162" fillId="0" borderId="0" xfId="104" applyFont="1" applyFill="1" applyBorder="1"/>
    <xf numFmtId="0" fontId="162" fillId="0" borderId="0" xfId="104" applyFont="1" applyFill="1" applyBorder="1" applyAlignment="1">
      <alignment vertical="center"/>
    </xf>
    <xf numFmtId="0" fontId="162" fillId="0" borderId="0" xfId="104" applyFont="1" applyFill="1" applyAlignment="1">
      <alignment vertical="center"/>
    </xf>
    <xf numFmtId="0" fontId="32" fillId="0" borderId="0" xfId="104" applyFont="1" applyFill="1" applyBorder="1" applyAlignment="1">
      <alignment horizontal="right" vertical="center"/>
    </xf>
    <xf numFmtId="0" fontId="30" fillId="0" borderId="0" xfId="104" applyFont="1" applyFill="1" applyBorder="1" applyAlignment="1">
      <alignment vertical="center"/>
    </xf>
    <xf numFmtId="0" fontId="32" fillId="0" borderId="0" xfId="104" applyFont="1" applyFill="1" applyBorder="1" applyAlignment="1">
      <alignment vertical="center"/>
    </xf>
    <xf numFmtId="0" fontId="32" fillId="0" borderId="0" xfId="104" applyFont="1" applyFill="1" applyBorder="1" applyAlignment="1">
      <alignment horizontal="center" vertical="center"/>
    </xf>
    <xf numFmtId="0" fontId="32" fillId="0" borderId="0" xfId="104" applyFont="1" applyFill="1" applyBorder="1" applyAlignment="1">
      <alignment horizontal="left" vertical="center"/>
    </xf>
    <xf numFmtId="0" fontId="3" fillId="0" borderId="0" xfId="104" applyFill="1" applyAlignment="1"/>
    <xf numFmtId="0" fontId="162" fillId="0" borderId="0" xfId="104" applyFont="1" applyFill="1" applyAlignment="1"/>
    <xf numFmtId="0" fontId="162" fillId="24" borderId="79" xfId="104" applyFont="1" applyFill="1" applyBorder="1" applyAlignment="1">
      <alignment vertical="center"/>
    </xf>
    <xf numFmtId="0" fontId="162" fillId="24" borderId="78" xfId="104" applyFont="1" applyFill="1" applyBorder="1" applyAlignment="1">
      <alignment vertical="center"/>
    </xf>
    <xf numFmtId="0" fontId="162" fillId="0" borderId="0" xfId="104" applyFont="1" applyFill="1"/>
    <xf numFmtId="0" fontId="11" fillId="0" borderId="0" xfId="105" applyFont="1" applyFill="1" applyAlignment="1" applyProtection="1">
      <alignment vertical="center"/>
    </xf>
    <xf numFmtId="0" fontId="162" fillId="24" borderId="29" xfId="104" applyFont="1" applyFill="1" applyBorder="1" applyAlignment="1">
      <alignment vertical="center"/>
    </xf>
    <xf numFmtId="0" fontId="11" fillId="24" borderId="0" xfId="105" applyFont="1" applyFill="1" applyBorder="1" applyAlignment="1" applyProtection="1">
      <alignment vertical="center"/>
    </xf>
    <xf numFmtId="0" fontId="155" fillId="0" borderId="0" xfId="104" quotePrefix="1" applyFont="1" applyFill="1" applyAlignment="1">
      <alignment vertical="center" wrapText="1"/>
    </xf>
    <xf numFmtId="0" fontId="155" fillId="24" borderId="0" xfId="104" quotePrefix="1" applyFont="1" applyFill="1" applyBorder="1" applyAlignment="1">
      <alignment vertical="center" wrapText="1"/>
    </xf>
    <xf numFmtId="0" fontId="162" fillId="24" borderId="0" xfId="104" applyFont="1" applyFill="1" applyBorder="1" applyAlignment="1">
      <alignment vertical="center"/>
    </xf>
    <xf numFmtId="0" fontId="162" fillId="24" borderId="19" xfId="104" applyFont="1" applyFill="1" applyBorder="1" applyAlignment="1">
      <alignment vertical="center"/>
    </xf>
    <xf numFmtId="0" fontId="155" fillId="24" borderId="0" xfId="104" quotePrefix="1" applyFont="1" applyFill="1" applyBorder="1" applyAlignment="1">
      <alignment horizontal="left" vertical="center" wrapText="1"/>
    </xf>
    <xf numFmtId="0" fontId="107" fillId="24" borderId="19" xfId="104" applyFont="1" applyFill="1" applyBorder="1" applyAlignment="1">
      <alignment horizontal="left" vertical="center"/>
    </xf>
    <xf numFmtId="0" fontId="84" fillId="24" borderId="19" xfId="104" applyFont="1" applyFill="1" applyBorder="1" applyAlignment="1">
      <alignment horizontal="left" vertical="center"/>
    </xf>
    <xf numFmtId="0" fontId="162" fillId="24" borderId="29" xfId="104" applyFont="1" applyFill="1" applyBorder="1" applyAlignment="1"/>
    <xf numFmtId="0" fontId="162" fillId="24" borderId="0" xfId="104" applyFont="1" applyFill="1" applyBorder="1" applyAlignment="1"/>
    <xf numFmtId="0" fontId="155" fillId="24" borderId="0" xfId="104" applyFont="1" applyFill="1" applyBorder="1" applyAlignment="1"/>
    <xf numFmtId="0" fontId="162" fillId="24" borderId="0" xfId="104" applyFont="1" applyFill="1" applyBorder="1" applyAlignment="1">
      <alignment horizontal="left"/>
    </xf>
    <xf numFmtId="0" fontId="155" fillId="24" borderId="19" xfId="104" applyFont="1" applyFill="1" applyBorder="1" applyAlignment="1">
      <alignment horizontal="left"/>
    </xf>
    <xf numFmtId="0" fontId="3" fillId="0" borderId="0" xfId="104" applyFill="1" applyBorder="1" applyAlignment="1">
      <alignment vertical="center"/>
    </xf>
    <xf numFmtId="0" fontId="31" fillId="0" borderId="0" xfId="104" applyFont="1" applyFill="1" applyBorder="1" applyAlignment="1">
      <alignment vertical="center"/>
    </xf>
    <xf numFmtId="0" fontId="3" fillId="0" borderId="36" xfId="104" applyFill="1" applyBorder="1" applyAlignment="1">
      <alignment vertical="center"/>
    </xf>
    <xf numFmtId="0" fontId="3" fillId="0" borderId="18" xfId="104" applyFill="1" applyBorder="1" applyAlignment="1">
      <alignment vertical="center"/>
    </xf>
    <xf numFmtId="0" fontId="3" fillId="0" borderId="17" xfId="104" applyFill="1" applyBorder="1"/>
    <xf numFmtId="2" fontId="96" fillId="0" borderId="0" xfId="104" applyNumberFormat="1" applyFont="1" applyAlignment="1">
      <alignment vertical="center"/>
    </xf>
    <xf numFmtId="0" fontId="96" fillId="24" borderId="117" xfId="104" applyFont="1" applyFill="1" applyBorder="1" applyAlignment="1">
      <alignment vertical="center"/>
    </xf>
    <xf numFmtId="0" fontId="96" fillId="24" borderId="116" xfId="104" applyFont="1" applyFill="1" applyBorder="1" applyAlignment="1">
      <alignment vertical="center"/>
    </xf>
    <xf numFmtId="0" fontId="96" fillId="24" borderId="119" xfId="104" applyFont="1" applyFill="1" applyBorder="1" applyAlignment="1">
      <alignment vertical="center"/>
    </xf>
    <xf numFmtId="0" fontId="112" fillId="24" borderId="114" xfId="104" applyFont="1" applyFill="1" applyBorder="1" applyAlignment="1">
      <alignment horizontal="center" vertical="center"/>
    </xf>
    <xf numFmtId="0" fontId="8" fillId="65" borderId="109" xfId="104" applyFont="1" applyFill="1" applyBorder="1" applyAlignment="1">
      <alignment horizontal="right" vertical="center" indent="2"/>
    </xf>
    <xf numFmtId="0" fontId="8" fillId="65" borderId="108" xfId="104" applyFont="1" applyFill="1" applyBorder="1" applyAlignment="1">
      <alignment vertical="center"/>
    </xf>
    <xf numFmtId="2" fontId="8" fillId="65" borderId="118" xfId="104" applyNumberFormat="1" applyFont="1" applyFill="1" applyBorder="1" applyAlignment="1">
      <alignment horizontal="right" vertical="center" indent="2"/>
    </xf>
    <xf numFmtId="0" fontId="155" fillId="24" borderId="115" xfId="104" applyFont="1" applyFill="1" applyBorder="1" applyAlignment="1">
      <alignment horizontal="right" vertical="center" indent="2"/>
    </xf>
    <xf numFmtId="0" fontId="96" fillId="0" borderId="0" xfId="104" applyFont="1" applyFill="1" applyAlignment="1">
      <alignment vertical="center"/>
    </xf>
    <xf numFmtId="0" fontId="155" fillId="24" borderId="115" xfId="104" applyFont="1" applyFill="1" applyBorder="1" applyAlignment="1">
      <alignment vertical="center"/>
    </xf>
    <xf numFmtId="0" fontId="30" fillId="24" borderId="114" xfId="104" applyFont="1" applyFill="1" applyBorder="1" applyAlignment="1">
      <alignment vertical="center"/>
    </xf>
    <xf numFmtId="0" fontId="32" fillId="24" borderId="115" xfId="104" applyFont="1" applyFill="1" applyBorder="1" applyAlignment="1">
      <alignment vertical="center"/>
    </xf>
    <xf numFmtId="0" fontId="30" fillId="24" borderId="113" xfId="104" applyFont="1" applyFill="1" applyBorder="1" applyAlignment="1">
      <alignment vertical="center"/>
    </xf>
    <xf numFmtId="0" fontId="32" fillId="24" borderId="111" xfId="104" applyFont="1" applyFill="1" applyBorder="1" applyAlignment="1">
      <alignment vertical="center"/>
    </xf>
    <xf numFmtId="0" fontId="29" fillId="28" borderId="113" xfId="104" applyFont="1" applyFill="1" applyBorder="1" applyAlignment="1">
      <alignment horizontal="right" vertical="center"/>
    </xf>
    <xf numFmtId="0" fontId="3" fillId="28" borderId="112" xfId="104" applyFill="1" applyBorder="1" applyAlignment="1">
      <alignment vertical="center"/>
    </xf>
    <xf numFmtId="0" fontId="32" fillId="28" borderId="112" xfId="104" applyFont="1" applyFill="1" applyBorder="1" applyAlignment="1">
      <alignment horizontal="right" vertical="center"/>
    </xf>
    <xf numFmtId="0" fontId="30" fillId="28" borderId="112" xfId="104" applyFont="1" applyFill="1" applyBorder="1" applyAlignment="1">
      <alignment vertical="center"/>
    </xf>
    <xf numFmtId="0" fontId="31" fillId="28" borderId="112" xfId="104" applyFont="1" applyFill="1" applyBorder="1" applyAlignment="1">
      <alignment vertical="center"/>
    </xf>
    <xf numFmtId="0" fontId="31" fillId="28" borderId="112" xfId="104" applyFont="1" applyFill="1" applyBorder="1" applyAlignment="1">
      <alignment horizontal="left" vertical="center"/>
    </xf>
    <xf numFmtId="0" fontId="31" fillId="28" borderId="111" xfId="104" applyFont="1" applyFill="1" applyBorder="1" applyAlignment="1">
      <alignment horizontal="left" vertical="center"/>
    </xf>
    <xf numFmtId="2" fontId="167" fillId="67" borderId="100" xfId="104" applyNumberFormat="1" applyFont="1" applyFill="1" applyBorder="1" applyAlignment="1">
      <alignment horizontal="center" vertical="center"/>
    </xf>
    <xf numFmtId="2" fontId="155" fillId="67" borderId="100" xfId="104" applyNumberFormat="1" applyFont="1" applyFill="1" applyBorder="1" applyAlignment="1">
      <alignment horizontal="center" vertical="center"/>
    </xf>
    <xf numFmtId="168" fontId="167" fillId="67" borderId="100" xfId="104" applyNumberFormat="1" applyFont="1" applyFill="1" applyBorder="1" applyAlignment="1">
      <alignment horizontal="center" vertical="center"/>
    </xf>
    <xf numFmtId="0" fontId="46" fillId="68" borderId="117" xfId="104" applyFont="1" applyFill="1" applyBorder="1"/>
    <xf numFmtId="0" fontId="46" fillId="68" borderId="116" xfId="104" applyFont="1" applyFill="1" applyBorder="1"/>
    <xf numFmtId="10" fontId="155" fillId="66" borderId="0" xfId="110" applyNumberFormat="1" applyFont="1" applyFill="1" applyBorder="1" applyAlignment="1">
      <alignment horizontal="left" vertical="center"/>
    </xf>
    <xf numFmtId="0" fontId="155" fillId="66" borderId="97" xfId="104" applyFont="1" applyFill="1" applyBorder="1" applyAlignment="1">
      <alignment horizontal="left" vertical="center"/>
    </xf>
    <xf numFmtId="0" fontId="155" fillId="24" borderId="100" xfId="104" applyFont="1" applyFill="1" applyBorder="1" applyAlignment="1">
      <alignment horizontal="left" vertical="center" indent="1"/>
    </xf>
    <xf numFmtId="1" fontId="155" fillId="66" borderId="0" xfId="104" applyNumberFormat="1" applyFont="1" applyFill="1" applyBorder="1" applyAlignment="1">
      <alignment horizontal="left" vertical="center"/>
    </xf>
    <xf numFmtId="0" fontId="8" fillId="24" borderId="100" xfId="104" applyFont="1" applyFill="1" applyBorder="1" applyAlignment="1">
      <alignment horizontal="left" vertical="center" indent="1"/>
    </xf>
    <xf numFmtId="1" fontId="155" fillId="66" borderId="0" xfId="104" applyNumberFormat="1" applyFont="1" applyFill="1" applyBorder="1" applyAlignment="1">
      <alignment vertical="center"/>
    </xf>
    <xf numFmtId="0" fontId="8" fillId="24" borderId="175" xfId="104" applyFont="1" applyFill="1" applyBorder="1" applyAlignment="1">
      <alignment horizontal="right" vertical="center" indent="1"/>
    </xf>
    <xf numFmtId="0" fontId="155" fillId="66" borderId="0" xfId="104" applyFont="1" applyFill="1" applyBorder="1" applyAlignment="1">
      <alignment vertical="center"/>
    </xf>
    <xf numFmtId="0" fontId="155" fillId="68" borderId="100" xfId="104" applyFont="1" applyFill="1" applyBorder="1" applyAlignment="1">
      <alignment horizontal="center" vertical="center"/>
    </xf>
    <xf numFmtId="0" fontId="112" fillId="68" borderId="100" xfId="104" applyFont="1" applyFill="1" applyBorder="1" applyAlignment="1">
      <alignment horizontal="center" vertical="center"/>
    </xf>
    <xf numFmtId="0" fontId="8" fillId="66" borderId="239" xfId="104" applyFont="1" applyFill="1" applyBorder="1" applyAlignment="1">
      <alignment horizontal="center" vertical="center"/>
    </xf>
    <xf numFmtId="2" fontId="155" fillId="66" borderId="117" xfId="104" applyNumberFormat="1" applyFont="1" applyFill="1" applyBorder="1" applyAlignment="1">
      <alignment horizontal="center" vertical="center"/>
    </xf>
    <xf numFmtId="2" fontId="155" fillId="66" borderId="116" xfId="104" applyNumberFormat="1" applyFont="1" applyFill="1" applyBorder="1" applyAlignment="1">
      <alignment horizontal="center" vertical="center"/>
    </xf>
    <xf numFmtId="170" fontId="155" fillId="66" borderId="116" xfId="104" applyNumberFormat="1" applyFont="1" applyFill="1" applyBorder="1" applyAlignment="1">
      <alignment horizontal="center" vertical="center"/>
    </xf>
    <xf numFmtId="2" fontId="155" fillId="66" borderId="116" xfId="104" applyNumberFormat="1" applyFont="1" applyFill="1" applyBorder="1" applyAlignment="1">
      <alignment horizontal="left" vertical="center"/>
    </xf>
    <xf numFmtId="168" fontId="167" fillId="67" borderId="121" xfId="104" applyNumberFormat="1" applyFont="1" applyFill="1" applyBorder="1" applyAlignment="1">
      <alignment horizontal="center" vertical="center"/>
    </xf>
    <xf numFmtId="168" fontId="167" fillId="67" borderId="118" xfId="104" applyNumberFormat="1" applyFont="1" applyFill="1" applyBorder="1" applyAlignment="1">
      <alignment horizontal="center" vertical="center"/>
    </xf>
    <xf numFmtId="168" fontId="155" fillId="67" borderId="118" xfId="104" applyNumberFormat="1" applyFont="1" applyFill="1" applyBorder="1" applyAlignment="1">
      <alignment horizontal="center" vertical="center"/>
    </xf>
    <xf numFmtId="0" fontId="8" fillId="24" borderId="19" xfId="104" applyFont="1" applyFill="1" applyBorder="1" applyAlignment="1">
      <alignment horizontal="right" vertical="center"/>
    </xf>
    <xf numFmtId="2" fontId="155" fillId="66" borderId="114" xfId="104" applyNumberFormat="1" applyFont="1" applyFill="1" applyBorder="1" applyAlignment="1">
      <alignment horizontal="center" vertical="center"/>
    </xf>
    <xf numFmtId="0" fontId="8" fillId="66" borderId="0" xfId="104" applyFont="1" applyFill="1" applyBorder="1" applyAlignment="1">
      <alignment horizontal="right" vertical="center"/>
    </xf>
    <xf numFmtId="0" fontId="167" fillId="67" borderId="109" xfId="104" applyFont="1" applyFill="1" applyBorder="1" applyAlignment="1">
      <alignment vertical="center"/>
    </xf>
    <xf numFmtId="2" fontId="155" fillId="66" borderId="113" xfId="104" applyNumberFormat="1" applyFont="1" applyFill="1" applyBorder="1" applyAlignment="1">
      <alignment horizontal="center" vertical="center"/>
    </xf>
    <xf numFmtId="0" fontId="8" fillId="66" borderId="113" xfId="104" applyFont="1" applyFill="1" applyBorder="1" applyAlignment="1">
      <alignment horizontal="center" vertical="center"/>
    </xf>
    <xf numFmtId="0" fontId="8" fillId="66" borderId="112" xfId="104" applyFont="1" applyFill="1" applyBorder="1" applyAlignment="1">
      <alignment vertical="center"/>
    </xf>
    <xf numFmtId="0" fontId="8" fillId="66" borderId="111" xfId="104" applyFont="1" applyFill="1" applyBorder="1" applyAlignment="1">
      <alignment horizontal="left" vertical="center"/>
    </xf>
    <xf numFmtId="0" fontId="8" fillId="66" borderId="111" xfId="104" applyFont="1" applyFill="1" applyBorder="1" applyAlignment="1">
      <alignment vertical="center"/>
    </xf>
    <xf numFmtId="1" fontId="155" fillId="24" borderId="116" xfId="104" applyNumberFormat="1" applyFont="1" applyFill="1" applyBorder="1" applyAlignment="1">
      <alignment horizontal="right" vertical="center"/>
    </xf>
    <xf numFmtId="1" fontId="155" fillId="24" borderId="0" xfId="104" applyNumberFormat="1" applyFont="1" applyFill="1" applyBorder="1" applyAlignment="1">
      <alignment vertical="center"/>
    </xf>
    <xf numFmtId="168" fontId="155" fillId="24" borderId="0" xfId="104" applyNumberFormat="1" applyFont="1" applyFill="1" applyBorder="1" applyAlignment="1">
      <alignment vertical="center"/>
    </xf>
    <xf numFmtId="3" fontId="155" fillId="24" borderId="112" xfId="104" applyNumberFormat="1" applyFont="1" applyFill="1" applyBorder="1" applyAlignment="1">
      <alignment vertical="center"/>
    </xf>
    <xf numFmtId="0" fontId="8" fillId="66" borderId="215" xfId="104" applyFont="1" applyFill="1" applyBorder="1" applyAlignment="1">
      <alignment vertical="center"/>
    </xf>
    <xf numFmtId="0" fontId="96" fillId="24" borderId="220" xfId="104" applyFont="1" applyFill="1" applyBorder="1" applyAlignment="1">
      <alignment vertical="center"/>
    </xf>
    <xf numFmtId="0" fontId="96" fillId="24" borderId="112" xfId="104" applyFont="1" applyFill="1" applyBorder="1" applyAlignment="1">
      <alignment vertical="center"/>
    </xf>
    <xf numFmtId="166" fontId="90" fillId="23" borderId="121" xfId="104" applyNumberFormat="1" applyFont="1" applyFill="1" applyBorder="1" applyAlignment="1">
      <alignment horizontal="center" vertical="center"/>
    </xf>
    <xf numFmtId="0" fontId="3" fillId="65" borderId="228" xfId="104" applyFill="1" applyBorder="1" applyAlignment="1">
      <alignment vertical="center"/>
    </xf>
    <xf numFmtId="0" fontId="102" fillId="65" borderId="228" xfId="104" applyFont="1" applyFill="1" applyBorder="1" applyAlignment="1">
      <alignment vertical="center"/>
    </xf>
    <xf numFmtId="0" fontId="29" fillId="0" borderId="0" xfId="104" applyFont="1" applyFill="1" applyBorder="1" applyAlignment="1">
      <alignment horizontal="right" vertical="center"/>
    </xf>
    <xf numFmtId="0" fontId="31" fillId="0" borderId="0" xfId="104" applyFont="1" applyFill="1" applyBorder="1" applyAlignment="1">
      <alignment horizontal="center" vertical="center"/>
    </xf>
    <xf numFmtId="0" fontId="31" fillId="0" borderId="0" xfId="104" applyFont="1" applyFill="1" applyBorder="1" applyAlignment="1">
      <alignment horizontal="left" vertical="center"/>
    </xf>
    <xf numFmtId="0" fontId="11" fillId="0" borderId="0" xfId="105" applyFill="1" applyAlignment="1" applyProtection="1">
      <alignment vertical="center"/>
    </xf>
    <xf numFmtId="0" fontId="31" fillId="0" borderId="0" xfId="104" applyFont="1" applyFill="1" applyBorder="1" applyAlignment="1">
      <alignment horizontal="right" vertical="center"/>
    </xf>
    <xf numFmtId="0" fontId="29" fillId="61" borderId="112" xfId="104" applyFont="1" applyFill="1" applyBorder="1" applyAlignment="1">
      <alignment horizontal="right" vertical="center"/>
    </xf>
    <xf numFmtId="0" fontId="3" fillId="61" borderId="112" xfId="104" applyFill="1" applyBorder="1" applyAlignment="1">
      <alignment vertical="center"/>
    </xf>
    <xf numFmtId="0" fontId="32" fillId="61" borderId="112" xfId="104" applyFont="1" applyFill="1" applyBorder="1" applyAlignment="1">
      <alignment horizontal="right" vertical="center"/>
    </xf>
    <xf numFmtId="0" fontId="30" fillId="61" borderId="112" xfId="104" applyFont="1" applyFill="1" applyBorder="1" applyAlignment="1">
      <alignment vertical="center"/>
    </xf>
    <xf numFmtId="0" fontId="31" fillId="61" borderId="112" xfId="104" applyFont="1" applyFill="1" applyBorder="1" applyAlignment="1">
      <alignment vertical="center"/>
    </xf>
    <xf numFmtId="0" fontId="31" fillId="61" borderId="0" xfId="104" applyFont="1" applyFill="1" applyBorder="1" applyAlignment="1">
      <alignment vertical="center"/>
    </xf>
    <xf numFmtId="0" fontId="3" fillId="23" borderId="0" xfId="104" applyFill="1" applyAlignment="1">
      <alignment vertical="center"/>
    </xf>
    <xf numFmtId="0" fontId="155" fillId="0" borderId="0" xfId="108" applyFill="1" applyBorder="1"/>
    <xf numFmtId="0" fontId="155" fillId="0" borderId="0" xfId="108"/>
    <xf numFmtId="0" fontId="155" fillId="0" borderId="0" xfId="108" applyFont="1" applyFill="1" applyBorder="1"/>
    <xf numFmtId="0" fontId="8" fillId="0" borderId="0" xfId="108" applyFont="1" applyFill="1" applyBorder="1" applyAlignment="1">
      <alignment horizontal="left"/>
    </xf>
    <xf numFmtId="0" fontId="155" fillId="0" borderId="0" xfId="108" quotePrefix="1" applyFill="1" applyBorder="1" applyAlignment="1">
      <alignment horizontal="right"/>
    </xf>
    <xf numFmtId="0" fontId="7" fillId="0" borderId="0" xfId="108" applyFont="1" applyFill="1" applyBorder="1"/>
    <xf numFmtId="0" fontId="37" fillId="0" borderId="0" xfId="108" applyFont="1" applyFill="1" applyBorder="1" applyAlignment="1">
      <alignment horizontal="right"/>
    </xf>
    <xf numFmtId="0" fontId="8" fillId="0" borderId="0" xfId="108" applyFont="1" applyFill="1" applyBorder="1" applyAlignment="1">
      <alignment horizontal="right"/>
    </xf>
    <xf numFmtId="0" fontId="8" fillId="0" borderId="0" xfId="108" applyFont="1" applyFill="1" applyBorder="1"/>
    <xf numFmtId="169" fontId="32" fillId="0" borderId="0" xfId="109" applyNumberFormat="1" applyFont="1" applyFill="1" applyBorder="1" applyAlignment="1">
      <alignment horizontal="center"/>
    </xf>
    <xf numFmtId="0" fontId="30" fillId="0" borderId="0" xfId="108" applyFont="1" applyFill="1" applyBorder="1"/>
    <xf numFmtId="0" fontId="32" fillId="0" borderId="0" xfId="108" applyFont="1" applyFill="1" applyBorder="1"/>
    <xf numFmtId="2" fontId="32" fillId="0" borderId="0" xfId="108" applyNumberFormat="1" applyFont="1" applyFill="1" applyBorder="1"/>
    <xf numFmtId="0" fontId="32" fillId="0" borderId="0" xfId="108" applyFont="1" applyFill="1" applyBorder="1" applyAlignment="1">
      <alignment horizontal="left"/>
    </xf>
    <xf numFmtId="2" fontId="8" fillId="0" borderId="0" xfId="108" applyNumberFormat="1" applyFont="1" applyFill="1" applyBorder="1" applyAlignment="1">
      <alignment horizontal="center"/>
    </xf>
    <xf numFmtId="2" fontId="32" fillId="0" borderId="0" xfId="108" quotePrefix="1" applyNumberFormat="1" applyFont="1" applyFill="1" applyBorder="1" applyAlignment="1">
      <alignment horizontal="right"/>
    </xf>
    <xf numFmtId="0" fontId="32" fillId="0" borderId="0" xfId="108" applyFont="1" applyFill="1" applyBorder="1" applyAlignment="1">
      <alignment horizontal="right"/>
    </xf>
    <xf numFmtId="167" fontId="155" fillId="0" borderId="0" xfId="108" applyNumberFormat="1" applyFill="1" applyBorder="1"/>
    <xf numFmtId="2" fontId="155" fillId="0" borderId="0" xfId="108" applyNumberFormat="1" applyFill="1" applyBorder="1"/>
    <xf numFmtId="172" fontId="8" fillId="0" borderId="0" xfId="108" applyNumberFormat="1" applyFont="1" applyFill="1" applyBorder="1"/>
    <xf numFmtId="0" fontId="155" fillId="0" borderId="0" xfId="108" applyFill="1" applyBorder="1" applyAlignment="1">
      <alignment horizontal="right"/>
    </xf>
    <xf numFmtId="166" fontId="8" fillId="0" borderId="0" xfId="108" applyNumberFormat="1" applyFont="1" applyFill="1" applyBorder="1"/>
    <xf numFmtId="0" fontId="29" fillId="0" borderId="0" xfId="108" applyFont="1" applyFill="1" applyBorder="1"/>
    <xf numFmtId="2" fontId="32" fillId="0" borderId="0" xfId="108" applyNumberFormat="1" applyFont="1" applyFill="1" applyBorder="1" applyAlignment="1">
      <alignment horizontal="right"/>
    </xf>
    <xf numFmtId="166" fontId="30" fillId="0" borderId="0" xfId="108" applyNumberFormat="1" applyFont="1" applyFill="1" applyBorder="1"/>
    <xf numFmtId="2" fontId="32" fillId="0" borderId="0" xfId="108" applyNumberFormat="1" applyFont="1" applyFill="1" applyBorder="1" applyAlignment="1">
      <alignment horizontal="center"/>
    </xf>
    <xf numFmtId="2" fontId="8" fillId="0" borderId="0" xfId="108" applyNumberFormat="1" applyFont="1" applyFill="1" applyBorder="1" applyAlignment="1">
      <alignment horizontal="right"/>
    </xf>
    <xf numFmtId="0" fontId="155" fillId="0" borderId="0" xfId="108" applyFont="1" applyFill="1" applyBorder="1" applyAlignment="1">
      <alignment horizontal="left"/>
    </xf>
    <xf numFmtId="0" fontId="59" fillId="0" borderId="0" xfId="108" applyFont="1" applyFill="1" applyBorder="1"/>
    <xf numFmtId="0" fontId="155" fillId="0" borderId="0" xfId="108" applyFont="1" applyFill="1" applyBorder="1" applyAlignment="1">
      <alignment horizontal="right"/>
    </xf>
    <xf numFmtId="0" fontId="59" fillId="0" borderId="0" xfId="108" applyFont="1" applyFill="1" applyBorder="1" applyAlignment="1">
      <alignment horizontal="left"/>
    </xf>
    <xf numFmtId="0" fontId="58" fillId="0" borderId="0" xfId="108" applyFont="1" applyFill="1" applyBorder="1"/>
    <xf numFmtId="2" fontId="155" fillId="0" borderId="0" xfId="108" applyNumberFormat="1" applyFont="1" applyFill="1" applyBorder="1" applyAlignment="1">
      <alignment horizontal="right"/>
    </xf>
    <xf numFmtId="0" fontId="155" fillId="0" borderId="0" xfId="108" applyFill="1" applyBorder="1" applyAlignment="1">
      <alignment horizontal="left"/>
    </xf>
    <xf numFmtId="0" fontId="155" fillId="0" borderId="0" xfId="108" applyFont="1" applyFill="1" applyBorder="1" applyAlignment="1">
      <alignment horizontal="left" vertical="top" wrapText="1"/>
    </xf>
    <xf numFmtId="0" fontId="155" fillId="0" borderId="0" xfId="108" applyFill="1" applyBorder="1" applyAlignment="1">
      <alignment vertical="top"/>
    </xf>
    <xf numFmtId="0" fontId="80" fillId="0" borderId="0" xfId="108" applyFont="1" applyFill="1" applyBorder="1" applyAlignment="1">
      <alignment horizontal="center"/>
    </xf>
    <xf numFmtId="166" fontId="155" fillId="0" borderId="0" xfId="108" applyNumberFormat="1" applyFill="1" applyBorder="1" applyAlignment="1">
      <alignment horizontal="right" vertical="top"/>
    </xf>
    <xf numFmtId="166" fontId="155" fillId="0" borderId="0" xfId="108" applyNumberFormat="1" applyFill="1" applyBorder="1"/>
    <xf numFmtId="166" fontId="78" fillId="0" borderId="0" xfId="108" applyNumberFormat="1" applyFont="1" applyFill="1" applyBorder="1" applyAlignment="1">
      <alignment horizontal="center"/>
    </xf>
    <xf numFmtId="0" fontId="27" fillId="0" borderId="0" xfId="108" applyFont="1" applyFill="1" applyBorder="1"/>
    <xf numFmtId="0" fontId="8" fillId="0" borderId="0" xfId="108" applyFont="1" applyFill="1" applyBorder="1" applyAlignment="1">
      <alignment horizontal="center"/>
    </xf>
    <xf numFmtId="2" fontId="8" fillId="0" borderId="0" xfId="108" applyNumberFormat="1" applyFont="1" applyFill="1" applyBorder="1"/>
    <xf numFmtId="168" fontId="155" fillId="0" borderId="0" xfId="108" applyNumberFormat="1" applyFont="1" applyFill="1" applyBorder="1"/>
    <xf numFmtId="168" fontId="59" fillId="0" borderId="0" xfId="108" applyNumberFormat="1" applyFont="1" applyFill="1" applyBorder="1"/>
    <xf numFmtId="2" fontId="155" fillId="0" borderId="0" xfId="108" applyNumberFormat="1" applyFont="1" applyFill="1" applyBorder="1"/>
    <xf numFmtId="170" fontId="155" fillId="0" borderId="0" xfId="108" applyNumberFormat="1" applyFill="1" applyBorder="1"/>
    <xf numFmtId="0" fontId="59" fillId="0" borderId="0" xfId="108" applyFont="1" applyFill="1" applyBorder="1" applyAlignment="1">
      <alignment horizontal="right"/>
    </xf>
    <xf numFmtId="171" fontId="155" fillId="0" borderId="0" xfId="108" applyNumberFormat="1" applyFill="1" applyBorder="1"/>
    <xf numFmtId="0" fontId="155" fillId="0" borderId="0" xfId="108" applyFont="1" applyFill="1" applyBorder="1" applyAlignment="1">
      <alignment vertical="top"/>
    </xf>
    <xf numFmtId="0" fontId="155" fillId="0" borderId="0" xfId="108" quotePrefix="1" applyFill="1" applyBorder="1"/>
    <xf numFmtId="170" fontId="59" fillId="0" borderId="0" xfId="108" applyNumberFormat="1" applyFont="1" applyFill="1" applyBorder="1"/>
    <xf numFmtId="0" fontId="155" fillId="0" borderId="0" xfId="108" applyFill="1" applyBorder="1" applyAlignment="1">
      <alignment horizontal="left" indent="1"/>
    </xf>
    <xf numFmtId="0" fontId="155" fillId="0" borderId="0" xfId="108" applyFont="1" applyFill="1" applyBorder="1" applyAlignment="1">
      <alignment horizontal="left" indent="1"/>
    </xf>
    <xf numFmtId="0" fontId="77" fillId="0" borderId="0" xfId="108" applyFont="1" applyFill="1" applyBorder="1"/>
    <xf numFmtId="0" fontId="77" fillId="0" borderId="0" xfId="108" applyFont="1" applyFill="1" applyBorder="1" applyAlignment="1">
      <alignment horizontal="left" indent="1"/>
    </xf>
    <xf numFmtId="171" fontId="155" fillId="0" borderId="0" xfId="108" applyNumberFormat="1" applyFont="1" applyFill="1" applyBorder="1" applyAlignment="1">
      <alignment horizontal="right"/>
    </xf>
    <xf numFmtId="176" fontId="155" fillId="0" borderId="0" xfId="108" applyNumberFormat="1" applyFont="1" applyFill="1" applyBorder="1"/>
    <xf numFmtId="2" fontId="27" fillId="0" borderId="0" xfId="108" applyNumberFormat="1" applyFont="1" applyFill="1" applyBorder="1"/>
    <xf numFmtId="172" fontId="155" fillId="0" borderId="0" xfId="108" applyNumberFormat="1" applyFill="1" applyBorder="1"/>
    <xf numFmtId="0" fontId="128" fillId="0" borderId="0" xfId="108" applyFont="1" applyFill="1" applyBorder="1" applyAlignment="1">
      <alignment horizontal="left"/>
    </xf>
    <xf numFmtId="0" fontId="32" fillId="0" borderId="0" xfId="108" applyFont="1" applyFill="1" applyBorder="1" applyAlignment="1">
      <alignment horizontal="center"/>
    </xf>
    <xf numFmtId="2" fontId="155" fillId="0" borderId="0" xfId="108" applyNumberFormat="1" applyFill="1" applyBorder="1" applyAlignment="1">
      <alignment horizontal="right"/>
    </xf>
    <xf numFmtId="2" fontId="59" fillId="0" borderId="0" xfId="108" applyNumberFormat="1" applyFont="1" applyFill="1" applyBorder="1"/>
    <xf numFmtId="0" fontId="31" fillId="0" borderId="0" xfId="108" applyFont="1" applyFill="1" applyBorder="1" applyAlignment="1">
      <alignment horizontal="left"/>
    </xf>
    <xf numFmtId="0" fontId="29" fillId="0" borderId="0" xfId="108" applyFont="1" applyFill="1" applyBorder="1" applyAlignment="1">
      <alignment horizontal="center"/>
    </xf>
    <xf numFmtId="0" fontId="31" fillId="0" borderId="0" xfId="108" applyFont="1" applyFill="1" applyBorder="1" applyAlignment="1">
      <alignment horizontal="center"/>
    </xf>
    <xf numFmtId="0" fontId="177" fillId="0" borderId="0" xfId="50" applyFont="1" applyFill="1" applyBorder="1" applyAlignment="1" applyProtection="1">
      <alignment horizontal="left"/>
    </xf>
    <xf numFmtId="0" fontId="155" fillId="0" borderId="0" xfId="108" applyFill="1" applyBorder="1" applyAlignment="1"/>
    <xf numFmtId="0" fontId="30" fillId="0" borderId="0" xfId="108" applyFont="1" applyFill="1" applyBorder="1" applyAlignment="1"/>
    <xf numFmtId="0" fontId="31" fillId="0" borderId="0" xfId="108" applyFont="1" applyFill="1" applyBorder="1" applyAlignment="1"/>
    <xf numFmtId="0" fontId="36" fillId="0" borderId="0" xfId="108" applyFont="1" applyFill="1" applyBorder="1" applyAlignment="1">
      <alignment horizontal="left" vertical="center"/>
    </xf>
    <xf numFmtId="0" fontId="160" fillId="70" borderId="17" xfId="104" applyFont="1" applyFill="1" applyBorder="1" applyAlignment="1">
      <alignment wrapText="1"/>
    </xf>
    <xf numFmtId="0" fontId="160" fillId="70" borderId="18" xfId="104" applyFont="1" applyFill="1" applyBorder="1" applyAlignment="1">
      <alignment wrapText="1"/>
    </xf>
    <xf numFmtId="0" fontId="160" fillId="70" borderId="36" xfId="104" applyFont="1" applyFill="1" applyBorder="1" applyAlignment="1">
      <alignment wrapText="1"/>
    </xf>
    <xf numFmtId="0" fontId="162" fillId="70" borderId="19" xfId="104" applyFont="1" applyFill="1" applyBorder="1" applyAlignment="1">
      <alignment wrapText="1"/>
    </xf>
    <xf numFmtId="0" fontId="162" fillId="70" borderId="0" xfId="104" applyFont="1" applyFill="1" applyBorder="1" applyAlignment="1">
      <alignment wrapText="1"/>
    </xf>
    <xf numFmtId="0" fontId="162" fillId="70" borderId="29" xfId="104" applyFont="1" applyFill="1" applyBorder="1" applyAlignment="1">
      <alignment wrapText="1"/>
    </xf>
    <xf numFmtId="0" fontId="162" fillId="70" borderId="176" xfId="104" applyFont="1" applyFill="1" applyBorder="1" applyAlignment="1">
      <alignment wrapText="1"/>
    </xf>
    <xf numFmtId="0" fontId="162" fillId="70" borderId="176" xfId="104" applyFont="1" applyFill="1" applyBorder="1" applyAlignment="1">
      <alignment horizontal="left" vertical="center" wrapText="1"/>
    </xf>
    <xf numFmtId="0" fontId="160" fillId="70" borderId="19" xfId="104" applyFont="1" applyFill="1" applyBorder="1" applyAlignment="1">
      <alignment wrapText="1"/>
    </xf>
    <xf numFmtId="0" fontId="160" fillId="70" borderId="0" xfId="104" applyFont="1" applyFill="1" applyBorder="1" applyAlignment="1">
      <alignment wrapText="1"/>
    </xf>
    <xf numFmtId="0" fontId="160" fillId="70" borderId="29" xfId="104" applyFont="1" applyFill="1" applyBorder="1" applyAlignment="1">
      <alignment wrapText="1"/>
    </xf>
    <xf numFmtId="0" fontId="160" fillId="70" borderId="77" xfId="104" applyFont="1" applyFill="1" applyBorder="1" applyAlignment="1">
      <alignment wrapText="1"/>
    </xf>
    <xf numFmtId="0" fontId="160" fillId="70" borderId="78" xfId="104" applyFont="1" applyFill="1" applyBorder="1" applyAlignment="1">
      <alignment wrapText="1"/>
    </xf>
    <xf numFmtId="0" fontId="160" fillId="70" borderId="79" xfId="104" applyFont="1" applyFill="1" applyBorder="1" applyAlignment="1">
      <alignment wrapText="1"/>
    </xf>
    <xf numFmtId="0" fontId="155" fillId="0" borderId="0" xfId="112" applyFill="1" applyBorder="1"/>
    <xf numFmtId="0" fontId="155" fillId="0" borderId="0" xfId="112"/>
    <xf numFmtId="0" fontId="155" fillId="0" borderId="0" xfId="112" applyFill="1"/>
    <xf numFmtId="0" fontId="155" fillId="0" borderId="0" xfId="112" applyFont="1" applyFill="1"/>
    <xf numFmtId="0" fontId="8" fillId="0" borderId="0" xfId="112" applyFont="1" applyFill="1" applyAlignment="1">
      <alignment horizontal="left"/>
    </xf>
    <xf numFmtId="0" fontId="155" fillId="0" borderId="0" xfId="112" quotePrefix="1" applyFill="1" applyAlignment="1">
      <alignment horizontal="right"/>
    </xf>
    <xf numFmtId="0" fontId="7" fillId="0" borderId="0" xfId="112" applyFont="1" applyFill="1"/>
    <xf numFmtId="0" fontId="37" fillId="0" borderId="0" xfId="112" applyFont="1" applyFill="1" applyAlignment="1">
      <alignment horizontal="right"/>
    </xf>
    <xf numFmtId="0" fontId="8" fillId="0" borderId="0" xfId="112" applyFont="1" applyFill="1" applyBorder="1" applyAlignment="1">
      <alignment horizontal="right"/>
    </xf>
    <xf numFmtId="0" fontId="8" fillId="0" borderId="0" xfId="112" applyFont="1" applyFill="1"/>
    <xf numFmtId="0" fontId="155" fillId="25" borderId="0" xfId="112" applyFill="1"/>
    <xf numFmtId="0" fontId="155" fillId="25" borderId="0" xfId="112" applyFill="1" applyBorder="1"/>
    <xf numFmtId="169" fontId="32" fillId="29" borderId="22" xfId="113" applyNumberFormat="1" applyFont="1" applyFill="1" applyBorder="1" applyAlignment="1">
      <alignment horizontal="center"/>
    </xf>
    <xf numFmtId="0" fontId="30" fillId="29" borderId="21" xfId="112" applyFont="1" applyFill="1" applyBorder="1"/>
    <xf numFmtId="0" fontId="32" fillId="29" borderId="21" xfId="112" applyFont="1" applyFill="1" applyBorder="1"/>
    <xf numFmtId="0" fontId="58" fillId="29" borderId="21" xfId="112" applyFont="1" applyFill="1" applyBorder="1"/>
    <xf numFmtId="0" fontId="58" fillId="29" borderId="20" xfId="112" applyFont="1" applyFill="1" applyBorder="1"/>
    <xf numFmtId="0" fontId="30" fillId="29" borderId="10" xfId="112" applyFont="1" applyFill="1" applyBorder="1"/>
    <xf numFmtId="0" fontId="30" fillId="29" borderId="0" xfId="112" applyFont="1" applyFill="1" applyBorder="1"/>
    <xf numFmtId="0" fontId="58" fillId="29" borderId="0" xfId="112" applyFont="1" applyFill="1" applyBorder="1"/>
    <xf numFmtId="0" fontId="58" fillId="29" borderId="9" xfId="112" applyFont="1" applyFill="1" applyBorder="1"/>
    <xf numFmtId="2" fontId="32" fillId="29" borderId="10" xfId="112" applyNumberFormat="1" applyFont="1" applyFill="1" applyBorder="1"/>
    <xf numFmtId="0" fontId="32" fillId="29" borderId="0" xfId="112" applyFont="1" applyFill="1" applyBorder="1" applyAlignment="1">
      <alignment horizontal="left"/>
    </xf>
    <xf numFmtId="0" fontId="59" fillId="29" borderId="0" xfId="112" applyFont="1" applyFill="1" applyBorder="1" applyAlignment="1">
      <alignment horizontal="left"/>
    </xf>
    <xf numFmtId="2" fontId="59" fillId="29" borderId="0" xfId="112" applyNumberFormat="1" applyFont="1" applyFill="1" applyBorder="1" applyAlignment="1">
      <alignment horizontal="center"/>
    </xf>
    <xf numFmtId="0" fontId="59" fillId="29" borderId="9" xfId="112" applyFont="1" applyFill="1" applyBorder="1" applyAlignment="1">
      <alignment horizontal="right"/>
    </xf>
    <xf numFmtId="2" fontId="32" fillId="29" borderId="10" xfId="112" quotePrefix="1" applyNumberFormat="1" applyFont="1" applyFill="1" applyBorder="1" applyAlignment="1">
      <alignment horizontal="right"/>
    </xf>
    <xf numFmtId="0" fontId="32" fillId="29" borderId="0" xfId="112" applyFont="1" applyFill="1" applyBorder="1" applyAlignment="1">
      <alignment horizontal="right"/>
    </xf>
    <xf numFmtId="0" fontId="155" fillId="24" borderId="10" xfId="112" applyFill="1" applyBorder="1"/>
    <xf numFmtId="0" fontId="155" fillId="24" borderId="0" xfId="112" applyFill="1" applyBorder="1"/>
    <xf numFmtId="167" fontId="155" fillId="24" borderId="0" xfId="112" applyNumberFormat="1" applyFill="1" applyBorder="1"/>
    <xf numFmtId="0" fontId="155" fillId="24" borderId="9" xfId="112" applyFill="1" applyBorder="1"/>
    <xf numFmtId="2" fontId="155" fillId="24" borderId="0" xfId="112" applyNumberFormat="1" applyFill="1" applyBorder="1"/>
    <xf numFmtId="172" fontId="8" fillId="24" borderId="0" xfId="112" applyNumberFormat="1" applyFont="1" applyFill="1" applyBorder="1"/>
    <xf numFmtId="0" fontId="155" fillId="24" borderId="0" xfId="112" applyFill="1" applyBorder="1" applyAlignment="1">
      <alignment horizontal="right"/>
    </xf>
    <xf numFmtId="166" fontId="8" fillId="24" borderId="0" xfId="112" applyNumberFormat="1" applyFont="1" applyFill="1" applyBorder="1"/>
    <xf numFmtId="0" fontId="30" fillId="28" borderId="10" xfId="112" applyFont="1" applyFill="1" applyBorder="1"/>
    <xf numFmtId="0" fontId="30" fillId="28" borderId="0" xfId="112" applyFont="1" applyFill="1" applyBorder="1"/>
    <xf numFmtId="0" fontId="155" fillId="28" borderId="0" xfId="112" applyFill="1" applyBorder="1"/>
    <xf numFmtId="0" fontId="29" fillId="28" borderId="9" xfId="112" applyFont="1" applyFill="1" applyBorder="1"/>
    <xf numFmtId="2" fontId="32" fillId="28" borderId="14" xfId="112" applyNumberFormat="1" applyFont="1" applyFill="1" applyBorder="1" applyAlignment="1">
      <alignment horizontal="right"/>
    </xf>
    <xf numFmtId="166" fontId="30" fillId="28" borderId="12" xfId="112" applyNumberFormat="1" applyFont="1" applyFill="1" applyBorder="1"/>
    <xf numFmtId="0" fontId="32" fillId="28" borderId="12" xfId="112" applyFont="1" applyFill="1" applyBorder="1" applyAlignment="1">
      <alignment horizontal="left"/>
    </xf>
    <xf numFmtId="0" fontId="30" fillId="28" borderId="12" xfId="112" applyFont="1" applyFill="1" applyBorder="1"/>
    <xf numFmtId="0" fontId="29" fillId="28" borderId="12" xfId="112" applyFont="1" applyFill="1" applyBorder="1"/>
    <xf numFmtId="0" fontId="155" fillId="28" borderId="12" xfId="112" applyFill="1" applyBorder="1"/>
    <xf numFmtId="0" fontId="29" fillId="28" borderId="11" xfId="112" applyFont="1" applyFill="1" applyBorder="1"/>
    <xf numFmtId="2" fontId="32" fillId="25" borderId="0" xfId="112" applyNumberFormat="1" applyFont="1" applyFill="1" applyAlignment="1">
      <alignment horizontal="center"/>
    </xf>
    <xf numFmtId="0" fontId="8" fillId="25" borderId="0" xfId="112" applyFont="1" applyFill="1" applyBorder="1" applyAlignment="1">
      <alignment horizontal="right"/>
    </xf>
    <xf numFmtId="0" fontId="32" fillId="25" borderId="0" xfId="112" applyFont="1" applyFill="1" applyAlignment="1">
      <alignment horizontal="left"/>
    </xf>
    <xf numFmtId="0" fontId="32" fillId="25" borderId="0" xfId="112" applyFont="1" applyFill="1" applyAlignment="1">
      <alignment horizontal="right"/>
    </xf>
    <xf numFmtId="2" fontId="32" fillId="29" borderId="22" xfId="112" applyNumberFormat="1" applyFont="1" applyFill="1" applyBorder="1" applyAlignment="1">
      <alignment horizontal="right"/>
    </xf>
    <xf numFmtId="0" fontId="8" fillId="29" borderId="21" xfId="112" applyFont="1" applyFill="1" applyBorder="1" applyAlignment="1">
      <alignment horizontal="right"/>
    </xf>
    <xf numFmtId="0" fontId="32" fillId="29" borderId="21" xfId="112" applyFont="1" applyFill="1" applyBorder="1" applyAlignment="1">
      <alignment horizontal="left"/>
    </xf>
    <xf numFmtId="0" fontId="155" fillId="29" borderId="21" xfId="112" applyFill="1" applyBorder="1"/>
    <xf numFmtId="0" fontId="32" fillId="29" borderId="21" xfId="112" applyFont="1" applyFill="1" applyBorder="1" applyAlignment="1">
      <alignment horizontal="right"/>
    </xf>
    <xf numFmtId="0" fontId="155" fillId="29" borderId="20" xfId="112" applyFill="1" applyBorder="1"/>
    <xf numFmtId="2" fontId="8" fillId="24" borderId="13" xfId="112" applyNumberFormat="1" applyFont="1" applyFill="1" applyBorder="1" applyAlignment="1">
      <alignment horizontal="right"/>
    </xf>
    <xf numFmtId="0" fontId="155" fillId="24" borderId="0" xfId="112" applyFont="1" applyFill="1" applyBorder="1" applyAlignment="1">
      <alignment horizontal="left"/>
    </xf>
    <xf numFmtId="0" fontId="59" fillId="25" borderId="4" xfId="112" applyFont="1" applyFill="1" applyBorder="1"/>
    <xf numFmtId="0" fontId="155" fillId="24" borderId="0" xfId="112" applyFont="1" applyFill="1" applyBorder="1" applyAlignment="1">
      <alignment horizontal="right"/>
    </xf>
    <xf numFmtId="0" fontId="155" fillId="24" borderId="10" xfId="112" applyFill="1" applyBorder="1" applyAlignment="1">
      <alignment horizontal="right"/>
    </xf>
    <xf numFmtId="0" fontId="8" fillId="24" borderId="0" xfId="112" applyFont="1" applyFill="1" applyBorder="1" applyAlignment="1">
      <alignment horizontal="right"/>
    </xf>
    <xf numFmtId="0" fontId="8" fillId="24" borderId="0" xfId="112" applyFont="1" applyFill="1" applyBorder="1" applyAlignment="1">
      <alignment horizontal="left"/>
    </xf>
    <xf numFmtId="2" fontId="8" fillId="24" borderId="0" xfId="112" applyNumberFormat="1" applyFont="1" applyFill="1" applyBorder="1" applyAlignment="1">
      <alignment horizontal="center"/>
    </xf>
    <xf numFmtId="0" fontId="29" fillId="24" borderId="9" xfId="112" applyFont="1" applyFill="1" applyBorder="1"/>
    <xf numFmtId="0" fontId="8" fillId="28" borderId="14" xfId="112" applyFont="1" applyFill="1" applyBorder="1" applyAlignment="1">
      <alignment horizontal="right"/>
    </xf>
    <xf numFmtId="0" fontId="155" fillId="28" borderId="11" xfId="112" applyFill="1" applyBorder="1"/>
    <xf numFmtId="0" fontId="8" fillId="28" borderId="12" xfId="112" applyFont="1" applyFill="1" applyBorder="1" applyAlignment="1">
      <alignment horizontal="left"/>
    </xf>
    <xf numFmtId="2" fontId="8" fillId="28" borderId="12" xfId="112" applyNumberFormat="1" applyFont="1" applyFill="1" applyBorder="1" applyAlignment="1">
      <alignment horizontal="center"/>
    </xf>
    <xf numFmtId="2" fontId="8" fillId="24" borderId="10" xfId="112" applyNumberFormat="1" applyFont="1" applyFill="1" applyBorder="1" applyAlignment="1">
      <alignment horizontal="right"/>
    </xf>
    <xf numFmtId="2" fontId="155" fillId="24" borderId="13" xfId="112" applyNumberFormat="1" applyFont="1" applyFill="1" applyBorder="1" applyAlignment="1">
      <alignment horizontal="right"/>
    </xf>
    <xf numFmtId="0" fontId="155" fillId="24" borderId="0" xfId="112" applyFill="1" applyBorder="1" applyAlignment="1">
      <alignment horizontal="left"/>
    </xf>
    <xf numFmtId="2" fontId="8" fillId="24" borderId="4" xfId="112" applyNumberFormat="1" applyFont="1" applyFill="1" applyBorder="1" applyAlignment="1">
      <alignment horizontal="right"/>
    </xf>
    <xf numFmtId="2" fontId="155" fillId="24" borderId="0" xfId="112" applyNumberFormat="1" applyFont="1" applyFill="1" applyBorder="1" applyAlignment="1">
      <alignment horizontal="right"/>
    </xf>
    <xf numFmtId="0" fontId="155" fillId="24" borderId="13" xfId="112" applyFont="1" applyFill="1" applyBorder="1" applyAlignment="1">
      <alignment horizontal="right"/>
    </xf>
    <xf numFmtId="0" fontId="155" fillId="24" borderId="0" xfId="112" applyFont="1" applyFill="1" applyBorder="1" applyAlignment="1">
      <alignment horizontal="left" vertical="top" wrapText="1"/>
    </xf>
    <xf numFmtId="0" fontId="155" fillId="24" borderId="9" xfId="112" applyFill="1" applyBorder="1" applyAlignment="1">
      <alignment vertical="top"/>
    </xf>
    <xf numFmtId="0" fontId="80" fillId="24" borderId="0" xfId="112" applyFont="1" applyFill="1" applyBorder="1" applyAlignment="1">
      <alignment horizontal="center"/>
    </xf>
    <xf numFmtId="0" fontId="155" fillId="24" borderId="10" xfId="112" applyFont="1" applyFill="1" applyBorder="1" applyAlignment="1">
      <alignment horizontal="left" vertical="top" wrapText="1"/>
    </xf>
    <xf numFmtId="166" fontId="155" fillId="24" borderId="9" xfId="112" applyNumberFormat="1" applyFill="1" applyBorder="1" applyAlignment="1">
      <alignment horizontal="right" vertical="top"/>
    </xf>
    <xf numFmtId="166" fontId="78" fillId="24" borderId="0" xfId="112" applyNumberFormat="1" applyFont="1" applyFill="1" applyBorder="1" applyAlignment="1">
      <alignment horizontal="center"/>
    </xf>
    <xf numFmtId="0" fontId="8" fillId="24" borderId="0" xfId="112" applyFont="1" applyFill="1" applyBorder="1"/>
    <xf numFmtId="166" fontId="155" fillId="24" borderId="9" xfId="112" applyNumberFormat="1" applyFill="1" applyBorder="1"/>
    <xf numFmtId="0" fontId="27" fillId="24" borderId="0" xfId="112" applyFont="1" applyFill="1" applyBorder="1"/>
    <xf numFmtId="168" fontId="59" fillId="23" borderId="4" xfId="112" applyNumberFormat="1" applyFont="1" applyFill="1" applyBorder="1"/>
    <xf numFmtId="0" fontId="155" fillId="24" borderId="9" xfId="112" applyFont="1" applyFill="1" applyBorder="1" applyAlignment="1">
      <alignment horizontal="right"/>
    </xf>
    <xf numFmtId="0" fontId="27" fillId="25" borderId="0" xfId="112" applyFont="1" applyFill="1" applyBorder="1" applyAlignment="1">
      <alignment horizontal="center"/>
    </xf>
    <xf numFmtId="0" fontId="8" fillId="24" borderId="0" xfId="112" applyFont="1" applyFill="1" applyBorder="1" applyAlignment="1">
      <alignment horizontal="center"/>
    </xf>
    <xf numFmtId="2" fontId="8" fillId="25" borderId="0" xfId="112" applyNumberFormat="1" applyFont="1" applyFill="1" applyAlignment="1">
      <alignment horizontal="right"/>
    </xf>
    <xf numFmtId="2" fontId="8" fillId="25" borderId="0" xfId="112" applyNumberFormat="1" applyFont="1" applyFill="1" applyBorder="1"/>
    <xf numFmtId="2" fontId="8" fillId="24" borderId="16" xfId="112" applyNumberFormat="1" applyFont="1" applyFill="1" applyBorder="1"/>
    <xf numFmtId="0" fontId="155" fillId="24" borderId="13" xfId="112" applyFill="1" applyBorder="1"/>
    <xf numFmtId="2" fontId="155" fillId="24" borderId="13" xfId="112" applyNumberFormat="1" applyFill="1" applyBorder="1"/>
    <xf numFmtId="0" fontId="155" fillId="24" borderId="13" xfId="112" applyFont="1" applyFill="1" applyBorder="1" applyAlignment="1">
      <alignment horizontal="center"/>
    </xf>
    <xf numFmtId="0" fontId="155" fillId="24" borderId="0" xfId="112" applyFont="1" applyFill="1" applyBorder="1"/>
    <xf numFmtId="168" fontId="155" fillId="24" borderId="9" xfId="112" applyNumberFormat="1" applyFont="1" applyFill="1" applyBorder="1"/>
    <xf numFmtId="0" fontId="8" fillId="24" borderId="15" xfId="112" applyFont="1" applyFill="1" applyBorder="1" applyAlignment="1">
      <alignment horizontal="left"/>
    </xf>
    <xf numFmtId="168" fontId="59" fillId="25" borderId="4" xfId="112" applyNumberFormat="1" applyFont="1" applyFill="1" applyBorder="1"/>
    <xf numFmtId="0" fontId="29" fillId="28" borderId="15" xfId="112" applyFont="1" applyFill="1" applyBorder="1"/>
    <xf numFmtId="0" fontId="155" fillId="28" borderId="14" xfId="112" applyFill="1" applyBorder="1"/>
    <xf numFmtId="2" fontId="32" fillId="25" borderId="0" xfId="112" applyNumberFormat="1" applyFont="1" applyFill="1" applyAlignment="1">
      <alignment horizontal="right"/>
    </xf>
    <xf numFmtId="2" fontId="155" fillId="24" borderId="13" xfId="112" applyNumberFormat="1" applyFont="1" applyFill="1" applyBorder="1"/>
    <xf numFmtId="0" fontId="8" fillId="24" borderId="9" xfId="112" applyFont="1" applyFill="1" applyBorder="1" applyAlignment="1">
      <alignment horizontal="right"/>
    </xf>
    <xf numFmtId="170" fontId="155" fillId="24" borderId="9" xfId="112" applyNumberFormat="1" applyFill="1" applyBorder="1"/>
    <xf numFmtId="0" fontId="59" fillId="25" borderId="4" xfId="112" applyFont="1" applyFill="1" applyBorder="1" applyAlignment="1">
      <alignment horizontal="right"/>
    </xf>
    <xf numFmtId="171" fontId="155" fillId="24" borderId="0" xfId="112" applyNumberFormat="1" applyFill="1" applyBorder="1"/>
    <xf numFmtId="166" fontId="155" fillId="28" borderId="14" xfId="112" applyNumberFormat="1" applyFill="1" applyBorder="1"/>
    <xf numFmtId="166" fontId="155" fillId="28" borderId="12" xfId="112" applyNumberFormat="1" applyFill="1" applyBorder="1"/>
    <xf numFmtId="0" fontId="155" fillId="25" borderId="0" xfId="112" applyFill="1" applyBorder="1" applyAlignment="1">
      <alignment horizontal="right"/>
    </xf>
    <xf numFmtId="0" fontId="8" fillId="25" borderId="0" xfId="112" applyFont="1" applyFill="1" applyAlignment="1">
      <alignment horizontal="left"/>
    </xf>
    <xf numFmtId="2" fontId="8" fillId="25" borderId="0" xfId="112" applyNumberFormat="1" applyFont="1" applyFill="1" applyAlignment="1">
      <alignment horizontal="center"/>
    </xf>
    <xf numFmtId="0" fontId="8" fillId="25" borderId="0" xfId="112" applyFont="1" applyFill="1" applyAlignment="1">
      <alignment horizontal="right"/>
    </xf>
    <xf numFmtId="0" fontId="155" fillId="25" borderId="0" xfId="112" applyFont="1" applyFill="1" applyBorder="1" applyAlignment="1">
      <alignment vertical="top"/>
    </xf>
    <xf numFmtId="0" fontId="8" fillId="25" borderId="0" xfId="112" applyFont="1" applyFill="1" applyBorder="1" applyAlignment="1">
      <alignment horizontal="left"/>
    </xf>
    <xf numFmtId="2" fontId="8" fillId="25" borderId="0" xfId="112" applyNumberFormat="1" applyFont="1" applyFill="1" applyBorder="1" applyAlignment="1">
      <alignment horizontal="center"/>
    </xf>
    <xf numFmtId="0" fontId="155" fillId="23" borderId="10" xfId="112" applyFill="1" applyBorder="1"/>
    <xf numFmtId="0" fontId="155" fillId="23" borderId="0" xfId="112" applyFill="1" applyBorder="1"/>
    <xf numFmtId="175" fontId="155" fillId="23" borderId="0" xfId="112" applyNumberFormat="1" applyFill="1" applyBorder="1"/>
    <xf numFmtId="0" fontId="155" fillId="23" borderId="9" xfId="112" applyFill="1" applyBorder="1"/>
    <xf numFmtId="2" fontId="155" fillId="23" borderId="0" xfId="112" applyNumberFormat="1" applyFill="1" applyBorder="1"/>
    <xf numFmtId="0" fontId="155" fillId="23" borderId="0" xfId="112" applyFill="1" applyBorder="1" applyAlignment="1">
      <alignment horizontal="right"/>
    </xf>
    <xf numFmtId="2" fontId="8" fillId="23" borderId="0" xfId="112" applyNumberFormat="1" applyFont="1" applyFill="1" applyBorder="1"/>
    <xf numFmtId="2" fontId="155" fillId="25" borderId="0" xfId="112" applyNumberFormat="1" applyFont="1" applyFill="1" applyBorder="1"/>
    <xf numFmtId="0" fontId="155" fillId="24" borderId="0" xfId="112" quotePrefix="1" applyFill="1" applyBorder="1"/>
    <xf numFmtId="2" fontId="8" fillId="24" borderId="0" xfId="112" applyNumberFormat="1" applyFont="1" applyFill="1" applyBorder="1"/>
    <xf numFmtId="168" fontId="155" fillId="24" borderId="0" xfId="112" applyNumberFormat="1" applyFont="1" applyFill="1" applyBorder="1"/>
    <xf numFmtId="0" fontId="155" fillId="24" borderId="0" xfId="112" applyFill="1" applyBorder="1" applyAlignment="1">
      <alignment horizontal="left" indent="1"/>
    </xf>
    <xf numFmtId="2" fontId="155" fillId="23" borderId="13" xfId="112" applyNumberFormat="1" applyFont="1" applyFill="1" applyBorder="1" applyAlignment="1">
      <alignment horizontal="right"/>
    </xf>
    <xf numFmtId="168" fontId="155" fillId="23" borderId="0" xfId="112" applyNumberFormat="1" applyFont="1" applyFill="1" applyBorder="1"/>
    <xf numFmtId="0" fontId="155" fillId="23" borderId="0" xfId="112" applyFill="1" applyBorder="1" applyAlignment="1">
      <alignment horizontal="left" indent="1"/>
    </xf>
    <xf numFmtId="170" fontId="155" fillId="23" borderId="0" xfId="112" applyNumberFormat="1" applyFill="1" applyBorder="1"/>
    <xf numFmtId="0" fontId="155" fillId="23" borderId="0" xfId="112" applyFont="1" applyFill="1" applyBorder="1"/>
    <xf numFmtId="0" fontId="155" fillId="23" borderId="0" xfId="112" applyFont="1" applyFill="1" applyBorder="1" applyAlignment="1">
      <alignment horizontal="left" indent="1"/>
    </xf>
    <xf numFmtId="0" fontId="155" fillId="23" borderId="13" xfId="112" applyFill="1" applyBorder="1"/>
    <xf numFmtId="0" fontId="77" fillId="23" borderId="0" xfId="112" applyFont="1" applyFill="1" applyBorder="1"/>
    <xf numFmtId="0" fontId="77" fillId="23" borderId="0" xfId="112" applyFont="1" applyFill="1" applyBorder="1" applyAlignment="1">
      <alignment horizontal="left" indent="1"/>
    </xf>
    <xf numFmtId="170" fontId="155" fillId="24" borderId="0" xfId="112" applyNumberFormat="1" applyFill="1" applyBorder="1"/>
    <xf numFmtId="168" fontId="155" fillId="24" borderId="9" xfId="112" applyNumberFormat="1" applyFill="1" applyBorder="1"/>
    <xf numFmtId="177" fontId="155" fillId="24" borderId="9" xfId="112" applyNumberFormat="1" applyFont="1" applyFill="1" applyBorder="1"/>
    <xf numFmtId="2" fontId="27" fillId="24" borderId="0" xfId="112" applyNumberFormat="1" applyFont="1" applyFill="1" applyBorder="1"/>
    <xf numFmtId="0" fontId="155" fillId="24" borderId="9" xfId="112" applyFont="1" applyFill="1" applyBorder="1"/>
    <xf numFmtId="0" fontId="155" fillId="24" borderId="0" xfId="112" applyFill="1"/>
    <xf numFmtId="167" fontId="155" fillId="24" borderId="9" xfId="112" applyNumberFormat="1" applyFill="1" applyBorder="1"/>
    <xf numFmtId="173" fontId="155" fillId="24" borderId="0" xfId="112" applyNumberFormat="1" applyFill="1" applyBorder="1"/>
    <xf numFmtId="166" fontId="155" fillId="25" borderId="0" xfId="112" applyNumberFormat="1" applyFill="1"/>
    <xf numFmtId="2" fontId="32" fillId="25" borderId="0" xfId="112" applyNumberFormat="1" applyFont="1" applyFill="1" applyBorder="1" applyAlignment="1">
      <alignment horizontal="center"/>
    </xf>
    <xf numFmtId="0" fontId="8" fillId="25" borderId="0" xfId="112" applyFont="1" applyFill="1" applyBorder="1" applyAlignment="1">
      <alignment horizontal="center"/>
    </xf>
    <xf numFmtId="0" fontId="32" fillId="25" borderId="0" xfId="112" applyFont="1" applyFill="1" applyBorder="1" applyAlignment="1">
      <alignment horizontal="center"/>
    </xf>
    <xf numFmtId="0" fontId="155" fillId="25" borderId="0" xfId="112" applyFill="1" applyBorder="1" applyAlignment="1">
      <alignment horizontal="center"/>
    </xf>
    <xf numFmtId="0" fontId="32" fillId="25" borderId="0" xfId="112" applyFont="1" applyFill="1" applyBorder="1" applyAlignment="1">
      <alignment horizontal="right"/>
    </xf>
    <xf numFmtId="0" fontId="8" fillId="29" borderId="21" xfId="112" applyFont="1" applyFill="1" applyBorder="1" applyAlignment="1">
      <alignment horizontal="center"/>
    </xf>
    <xf numFmtId="0" fontId="155" fillId="29" borderId="21" xfId="112" applyFill="1" applyBorder="1" applyAlignment="1">
      <alignment horizontal="center"/>
    </xf>
    <xf numFmtId="0" fontId="155" fillId="25" borderId="12" xfId="112" applyFill="1" applyBorder="1"/>
    <xf numFmtId="2" fontId="8" fillId="24" borderId="13" xfId="112" applyNumberFormat="1" applyFont="1" applyFill="1" applyBorder="1" applyAlignment="1">
      <alignment horizontal="center"/>
    </xf>
    <xf numFmtId="168" fontId="27" fillId="24" borderId="0" xfId="112" applyNumberFormat="1" applyFont="1" applyFill="1" applyBorder="1"/>
    <xf numFmtId="166" fontId="8" fillId="24" borderId="16" xfId="112" applyNumberFormat="1" applyFont="1" applyFill="1" applyBorder="1"/>
    <xf numFmtId="2" fontId="8" fillId="24" borderId="0" xfId="112" applyNumberFormat="1" applyFont="1" applyFill="1" applyBorder="1" applyAlignment="1">
      <alignment horizontal="right"/>
    </xf>
    <xf numFmtId="166" fontId="155" fillId="24" borderId="13" xfId="112" applyNumberFormat="1" applyFill="1" applyBorder="1"/>
    <xf numFmtId="2" fontId="155" fillId="24" borderId="13" xfId="112" applyNumberFormat="1" applyFill="1" applyBorder="1" applyAlignment="1">
      <alignment horizontal="right"/>
    </xf>
    <xf numFmtId="2" fontId="155" fillId="24" borderId="0" xfId="112" applyNumberFormat="1" applyFill="1" applyBorder="1" applyAlignment="1">
      <alignment horizontal="right"/>
    </xf>
    <xf numFmtId="2" fontId="59" fillId="25" borderId="4" xfId="112" applyNumberFormat="1" applyFont="1" applyFill="1" applyBorder="1"/>
    <xf numFmtId="166" fontId="155" fillId="24" borderId="0" xfId="112" applyNumberFormat="1" applyFill="1" applyBorder="1"/>
    <xf numFmtId="166" fontId="27" fillId="24" borderId="0" xfId="112" applyNumberFormat="1" applyFont="1" applyFill="1" applyBorder="1"/>
    <xf numFmtId="166" fontId="59" fillId="25" borderId="4" xfId="112" applyNumberFormat="1" applyFont="1" applyFill="1" applyBorder="1"/>
    <xf numFmtId="167" fontId="27" fillId="24" borderId="0" xfId="112" applyNumberFormat="1" applyFont="1" applyFill="1" applyBorder="1"/>
    <xf numFmtId="167" fontId="59" fillId="25" borderId="4" xfId="112" applyNumberFormat="1" applyFont="1" applyFill="1" applyBorder="1"/>
    <xf numFmtId="0" fontId="155" fillId="24" borderId="13" xfId="112" applyFill="1" applyBorder="1" applyAlignment="1">
      <alignment horizontal="right"/>
    </xf>
    <xf numFmtId="169" fontId="59" fillId="25" borderId="4" xfId="112" applyNumberFormat="1" applyFont="1" applyFill="1" applyBorder="1"/>
    <xf numFmtId="0" fontId="155" fillId="24" borderId="0" xfId="112" applyFont="1" applyFill="1" applyBorder="1" applyAlignment="1">
      <alignment horizontal="center"/>
    </xf>
    <xf numFmtId="167" fontId="155" fillId="24" borderId="9" xfId="114" applyNumberFormat="1" applyFont="1" applyFill="1" applyBorder="1"/>
    <xf numFmtId="167" fontId="59" fillId="25" borderId="4" xfId="114" applyNumberFormat="1" applyFont="1" applyFill="1" applyBorder="1"/>
    <xf numFmtId="0" fontId="7" fillId="24" borderId="9" xfId="112" applyFont="1" applyFill="1" applyBorder="1"/>
    <xf numFmtId="0" fontId="8" fillId="24" borderId="15" xfId="112" applyFont="1" applyFill="1" applyBorder="1" applyAlignment="1">
      <alignment horizontal="center"/>
    </xf>
    <xf numFmtId="0" fontId="155" fillId="24" borderId="14" xfId="112" applyFont="1" applyFill="1" applyBorder="1" applyAlignment="1">
      <alignment horizontal="right"/>
    </xf>
    <xf numFmtId="0" fontId="155" fillId="24" borderId="12" xfId="112" applyFont="1" applyFill="1" applyBorder="1" applyAlignment="1">
      <alignment horizontal="right"/>
    </xf>
    <xf numFmtId="0" fontId="155" fillId="24" borderId="12" xfId="112" applyFont="1" applyFill="1" applyBorder="1"/>
    <xf numFmtId="0" fontId="8" fillId="24" borderId="11" xfId="112" applyFont="1" applyFill="1" applyBorder="1" applyAlignment="1">
      <alignment horizontal="left"/>
    </xf>
    <xf numFmtId="0" fontId="155" fillId="24" borderId="12" xfId="112" applyFill="1" applyBorder="1"/>
    <xf numFmtId="0" fontId="8" fillId="24" borderId="12" xfId="112" applyFont="1" applyFill="1" applyBorder="1"/>
    <xf numFmtId="0" fontId="7" fillId="24" borderId="11" xfId="112" applyFont="1" applyFill="1" applyBorder="1"/>
    <xf numFmtId="0" fontId="29" fillId="28" borderId="22" xfId="112" applyFont="1" applyFill="1" applyBorder="1"/>
    <xf numFmtId="0" fontId="29" fillId="28" borderId="20" xfId="112" applyFont="1" applyFill="1" applyBorder="1"/>
    <xf numFmtId="0" fontId="8" fillId="25" borderId="0" xfId="112" applyFont="1" applyFill="1" applyAlignment="1">
      <alignment horizontal="center"/>
    </xf>
    <xf numFmtId="0" fontId="155" fillId="28" borderId="24" xfId="112" applyFill="1" applyBorder="1"/>
    <xf numFmtId="0" fontId="155" fillId="28" borderId="23" xfId="112" applyFill="1" applyBorder="1"/>
    <xf numFmtId="0" fontId="29" fillId="28" borderId="23" xfId="112" applyFont="1" applyFill="1" applyBorder="1"/>
    <xf numFmtId="0" fontId="30" fillId="28" borderId="23" xfId="112" applyFont="1" applyFill="1" applyBorder="1"/>
    <xf numFmtId="0" fontId="29" fillId="28" borderId="25" xfId="112" applyFont="1" applyFill="1" applyBorder="1"/>
    <xf numFmtId="0" fontId="155" fillId="26" borderId="79" xfId="112" applyFill="1" applyBorder="1" applyAlignment="1">
      <alignment vertical="top"/>
    </xf>
    <xf numFmtId="0" fontId="155" fillId="26" borderId="78" xfId="112" applyFill="1" applyBorder="1" applyAlignment="1">
      <alignment vertical="top"/>
    </xf>
    <xf numFmtId="166" fontId="8" fillId="26" borderId="0" xfId="112" applyNumberFormat="1" applyFont="1" applyFill="1" applyBorder="1" applyAlignment="1">
      <alignment horizontal="right"/>
    </xf>
    <xf numFmtId="166" fontId="8" fillId="26" borderId="0" xfId="112" applyNumberFormat="1" applyFont="1" applyFill="1" applyBorder="1" applyAlignment="1">
      <alignment horizontal="center"/>
    </xf>
    <xf numFmtId="0" fontId="155" fillId="26" borderId="0" xfId="112" applyFill="1" applyBorder="1"/>
    <xf numFmtId="0" fontId="8" fillId="26" borderId="0" xfId="112" applyFont="1" applyFill="1" applyBorder="1" applyAlignment="1">
      <alignment horizontal="center"/>
    </xf>
    <xf numFmtId="0" fontId="155" fillId="26" borderId="19" xfId="112" applyFont="1" applyFill="1" applyBorder="1" applyAlignment="1">
      <alignment horizontal="left" vertical="top"/>
    </xf>
    <xf numFmtId="0" fontId="36" fillId="25" borderId="0" xfId="112" applyFont="1" applyFill="1" applyBorder="1" applyAlignment="1">
      <alignment vertical="center"/>
    </xf>
    <xf numFmtId="2" fontId="56" fillId="26" borderId="36" xfId="112" applyNumberFormat="1" applyFont="1" applyFill="1" applyBorder="1" applyAlignment="1">
      <alignment horizontal="center"/>
    </xf>
    <xf numFmtId="0" fontId="155" fillId="26" borderId="18" xfId="112" applyFill="1" applyBorder="1"/>
    <xf numFmtId="0" fontId="49" fillId="26" borderId="18" xfId="112" applyFont="1" applyFill="1" applyBorder="1"/>
    <xf numFmtId="1" fontId="56" fillId="26" borderId="18" xfId="112" applyNumberFormat="1" applyFont="1" applyFill="1" applyBorder="1" applyAlignment="1">
      <alignment horizontal="center"/>
    </xf>
    <xf numFmtId="166" fontId="31" fillId="26" borderId="18" xfId="112" applyNumberFormat="1" applyFont="1" applyFill="1" applyBorder="1"/>
    <xf numFmtId="166" fontId="56" fillId="26" borderId="18" xfId="112" applyNumberFormat="1" applyFont="1" applyFill="1" applyBorder="1" applyAlignment="1">
      <alignment horizontal="center"/>
    </xf>
    <xf numFmtId="0" fontId="57" fillId="26" borderId="18" xfId="112" applyFont="1" applyFill="1" applyBorder="1"/>
    <xf numFmtId="0" fontId="155" fillId="26" borderId="17" xfId="112" applyFont="1" applyFill="1" applyBorder="1" applyAlignment="1">
      <alignment horizontal="left"/>
    </xf>
    <xf numFmtId="166" fontId="56" fillId="25" borderId="0" xfId="112" applyNumberFormat="1" applyFont="1" applyFill="1" applyBorder="1" applyAlignment="1">
      <alignment horizontal="center"/>
    </xf>
    <xf numFmtId="0" fontId="56" fillId="25" borderId="0" xfId="112" applyFont="1" applyFill="1" applyBorder="1"/>
    <xf numFmtId="0" fontId="155" fillId="0" borderId="0" xfId="112" applyFont="1" applyBorder="1" applyAlignment="1">
      <alignment horizontal="left"/>
    </xf>
    <xf numFmtId="0" fontId="8" fillId="26" borderId="29" xfId="112" applyFont="1" applyFill="1" applyBorder="1" applyAlignment="1">
      <alignment horizontal="left"/>
    </xf>
    <xf numFmtId="0" fontId="8" fillId="26" borderId="0" xfId="112" applyFont="1" applyFill="1" applyBorder="1" applyAlignment="1">
      <alignment horizontal="left"/>
    </xf>
    <xf numFmtId="0" fontId="49" fillId="26" borderId="19" xfId="112" applyFont="1" applyFill="1" applyBorder="1"/>
    <xf numFmtId="1" fontId="56" fillId="31" borderId="13" xfId="112" applyNumberFormat="1" applyFont="1" applyFill="1" applyBorder="1" applyAlignment="1">
      <alignment horizontal="center"/>
    </xf>
    <xf numFmtId="166" fontId="31" fillId="25" borderId="0" xfId="112" applyNumberFormat="1" applyFont="1" applyFill="1" applyBorder="1"/>
    <xf numFmtId="166" fontId="56" fillId="31" borderId="13" xfId="112" applyNumberFormat="1" applyFont="1" applyFill="1" applyBorder="1" applyAlignment="1">
      <alignment horizontal="center"/>
    </xf>
    <xf numFmtId="0" fontId="57" fillId="31" borderId="22" xfId="112" applyFont="1" applyFill="1" applyBorder="1"/>
    <xf numFmtId="0" fontId="57" fillId="31" borderId="21" xfId="112" applyFont="1" applyFill="1" applyBorder="1"/>
    <xf numFmtId="166" fontId="56" fillId="31" borderId="21" xfId="112" applyNumberFormat="1" applyFont="1" applyFill="1" applyBorder="1" applyAlignment="1">
      <alignment horizontal="center"/>
    </xf>
    <xf numFmtId="0" fontId="56" fillId="31" borderId="20" xfId="112" applyFont="1" applyFill="1" applyBorder="1"/>
    <xf numFmtId="0" fontId="155" fillId="26" borderId="19" xfId="112" applyFill="1" applyBorder="1"/>
    <xf numFmtId="0" fontId="30" fillId="29" borderId="13" xfId="112" applyFont="1" applyFill="1" applyBorder="1" applyAlignment="1">
      <alignment horizontal="center"/>
    </xf>
    <xf numFmtId="1" fontId="32" fillId="25" borderId="0" xfId="112" applyNumberFormat="1" applyFont="1" applyFill="1" applyBorder="1"/>
    <xf numFmtId="166" fontId="32" fillId="29" borderId="13" xfId="112" applyNumberFormat="1" applyFont="1" applyFill="1" applyBorder="1" applyAlignment="1">
      <alignment horizontal="center"/>
    </xf>
    <xf numFmtId="166" fontId="32" fillId="29" borderId="0" xfId="112" applyNumberFormat="1" applyFont="1" applyFill="1" applyBorder="1" applyAlignment="1">
      <alignment horizontal="center"/>
    </xf>
    <xf numFmtId="9" fontId="30" fillId="29" borderId="0" xfId="112" applyNumberFormat="1" applyFont="1" applyFill="1" applyBorder="1" applyAlignment="1">
      <alignment horizontal="center"/>
    </xf>
    <xf numFmtId="0" fontId="29" fillId="29" borderId="9" xfId="112" applyFont="1" applyFill="1" applyBorder="1"/>
    <xf numFmtId="169" fontId="30" fillId="29" borderId="0" xfId="112" applyNumberFormat="1" applyFont="1" applyFill="1" applyBorder="1" applyAlignment="1">
      <alignment horizontal="center"/>
    </xf>
    <xf numFmtId="0" fontId="8" fillId="26" borderId="29" xfId="112" applyFont="1" applyFill="1" applyBorder="1" applyAlignment="1">
      <alignment horizontal="center"/>
    </xf>
    <xf numFmtId="9" fontId="155" fillId="24" borderId="0" xfId="112" applyNumberFormat="1" applyFont="1" applyFill="1" applyBorder="1" applyAlignment="1">
      <alignment horizontal="center"/>
    </xf>
    <xf numFmtId="2" fontId="155" fillId="24" borderId="0" xfId="112" applyNumberFormat="1" applyFont="1" applyFill="1" applyBorder="1" applyAlignment="1">
      <alignment horizontal="center"/>
    </xf>
    <xf numFmtId="0" fontId="155" fillId="30" borderId="9" xfId="112" applyFill="1" applyBorder="1"/>
    <xf numFmtId="0" fontId="155" fillId="26" borderId="29" xfId="112" applyFill="1" applyBorder="1"/>
    <xf numFmtId="2" fontId="155" fillId="25" borderId="0" xfId="112" applyNumberFormat="1" applyFont="1" applyFill="1" applyBorder="1" applyAlignment="1">
      <alignment horizontal="left" vertical="center"/>
    </xf>
    <xf numFmtId="0" fontId="155" fillId="26" borderId="36" xfId="112" applyFill="1" applyBorder="1"/>
    <xf numFmtId="0" fontId="8" fillId="26" borderId="17" xfId="112" applyFont="1" applyFill="1" applyBorder="1"/>
    <xf numFmtId="0" fontId="30" fillId="25" borderId="0" xfId="112" applyFont="1" applyFill="1" applyBorder="1" applyAlignment="1">
      <alignment horizontal="right"/>
    </xf>
    <xf numFmtId="0" fontId="30" fillId="24" borderId="13" xfId="112" applyFont="1" applyFill="1" applyBorder="1" applyAlignment="1">
      <alignment horizontal="center"/>
    </xf>
    <xf numFmtId="169" fontId="155" fillId="24" borderId="0" xfId="112" applyNumberFormat="1" applyFont="1" applyFill="1" applyBorder="1" applyAlignment="1">
      <alignment horizontal="center"/>
    </xf>
    <xf numFmtId="0" fontId="32" fillId="29" borderId="13" xfId="112" applyFont="1" applyFill="1" applyBorder="1" applyAlignment="1">
      <alignment horizontal="center"/>
    </xf>
    <xf numFmtId="166" fontId="32" fillId="25" borderId="0" xfId="112" applyNumberFormat="1" applyFont="1" applyFill="1" applyBorder="1" applyAlignment="1">
      <alignment horizontal="right"/>
    </xf>
    <xf numFmtId="166" fontId="8" fillId="33" borderId="100" xfId="112" applyNumberFormat="1" applyFont="1" applyFill="1" applyBorder="1" applyAlignment="1">
      <alignment horizontal="left" indent="1"/>
    </xf>
    <xf numFmtId="0" fontId="31" fillId="29" borderId="0" xfId="112" applyFont="1" applyFill="1" applyBorder="1"/>
    <xf numFmtId="0" fontId="29" fillId="29" borderId="9" xfId="112" applyFont="1" applyFill="1" applyBorder="1" applyAlignment="1">
      <alignment horizontal="left"/>
    </xf>
    <xf numFmtId="2" fontId="155" fillId="25" borderId="0" xfId="112" applyNumberFormat="1" applyFont="1" applyFill="1" applyBorder="1" applyAlignment="1">
      <alignment horizontal="right"/>
    </xf>
    <xf numFmtId="2" fontId="30" fillId="24" borderId="13" xfId="112" applyNumberFormat="1" applyFont="1" applyFill="1" applyBorder="1" applyAlignment="1">
      <alignment horizontal="center"/>
    </xf>
    <xf numFmtId="0" fontId="155" fillId="23" borderId="22" xfId="112" applyFont="1" applyFill="1" applyBorder="1"/>
    <xf numFmtId="9" fontId="8" fillId="23" borderId="20" xfId="113" quotePrefix="1" applyNumberFormat="1" applyFont="1" applyFill="1" applyBorder="1"/>
    <xf numFmtId="0" fontId="155" fillId="30" borderId="10" xfId="112" applyFill="1" applyBorder="1"/>
    <xf numFmtId="169" fontId="155" fillId="23" borderId="22" xfId="113" quotePrefix="1" applyNumberFormat="1" applyFont="1" applyFill="1" applyBorder="1"/>
    <xf numFmtId="0" fontId="155" fillId="23" borderId="21" xfId="112" applyFont="1" applyFill="1" applyBorder="1" applyAlignment="1">
      <alignment horizontal="left"/>
    </xf>
    <xf numFmtId="169" fontId="155" fillId="23" borderId="20" xfId="113" applyNumberFormat="1" applyFont="1" applyFill="1" applyBorder="1" applyAlignment="1">
      <alignment horizontal="right"/>
    </xf>
    <xf numFmtId="0" fontId="155" fillId="23" borderId="10" xfId="112" applyFont="1" applyFill="1" applyBorder="1"/>
    <xf numFmtId="166" fontId="155" fillId="23" borderId="9" xfId="113" quotePrefix="1" applyNumberFormat="1" applyFont="1" applyFill="1" applyBorder="1" applyAlignment="1">
      <alignment horizontal="right"/>
    </xf>
    <xf numFmtId="169" fontId="155" fillId="23" borderId="10" xfId="113" quotePrefix="1" applyNumberFormat="1" applyFont="1" applyFill="1" applyBorder="1"/>
    <xf numFmtId="169" fontId="155" fillId="23" borderId="9" xfId="113" quotePrefix="1" applyNumberFormat="1" applyFont="1" applyFill="1" applyBorder="1"/>
    <xf numFmtId="166" fontId="32" fillId="29" borderId="9" xfId="112" applyNumberFormat="1" applyFont="1" applyFill="1" applyBorder="1" applyAlignment="1">
      <alignment horizontal="center"/>
    </xf>
    <xf numFmtId="0" fontId="155" fillId="29" borderId="0" xfId="112" applyFill="1" applyBorder="1"/>
    <xf numFmtId="2" fontId="32" fillId="29" borderId="0" xfId="112" applyNumberFormat="1" applyFont="1" applyFill="1" applyBorder="1" applyAlignment="1">
      <alignment horizontal="center"/>
    </xf>
    <xf numFmtId="0" fontId="29" fillId="29" borderId="0" xfId="112" applyFont="1" applyFill="1" applyBorder="1" applyAlignment="1">
      <alignment horizontal="center"/>
    </xf>
    <xf numFmtId="0" fontId="155" fillId="30" borderId="0" xfId="112" applyFill="1" applyBorder="1"/>
    <xf numFmtId="0" fontId="29" fillId="28" borderId="16" xfId="112" applyFont="1" applyFill="1" applyBorder="1" applyAlignment="1">
      <alignment horizontal="center"/>
    </xf>
    <xf numFmtId="0" fontId="30" fillId="25" borderId="0" xfId="112" applyFont="1" applyFill="1" applyBorder="1"/>
    <xf numFmtId="0" fontId="178" fillId="28" borderId="16" xfId="112" applyFont="1" applyFill="1" applyBorder="1" applyAlignment="1">
      <alignment horizontal="left"/>
    </xf>
    <xf numFmtId="0" fontId="30" fillId="28" borderId="16" xfId="112" applyFont="1" applyFill="1" applyBorder="1"/>
    <xf numFmtId="0" fontId="32" fillId="28" borderId="21" xfId="112" applyFont="1" applyFill="1" applyBorder="1" applyAlignment="1">
      <alignment horizontal="center"/>
    </xf>
    <xf numFmtId="0" fontId="51" fillId="28" borderId="20" xfId="112" applyFont="1" applyFill="1" applyBorder="1" applyAlignment="1">
      <alignment horizontal="center" vertical="top"/>
    </xf>
    <xf numFmtId="0" fontId="30" fillId="28" borderId="14" xfId="112" applyFont="1" applyFill="1" applyBorder="1"/>
    <xf numFmtId="0" fontId="31" fillId="28" borderId="11" xfId="112" applyFont="1" applyFill="1" applyBorder="1" applyAlignment="1">
      <alignment horizontal="left"/>
    </xf>
    <xf numFmtId="0" fontId="31" fillId="28" borderId="14" xfId="112" applyFont="1" applyFill="1" applyBorder="1" applyAlignment="1">
      <alignment horizontal="left"/>
    </xf>
    <xf numFmtId="0" fontId="29" fillId="28" borderId="15" xfId="112" applyFont="1" applyFill="1" applyBorder="1" applyAlignment="1">
      <alignment horizontal="center"/>
    </xf>
    <xf numFmtId="0" fontId="31" fillId="25" borderId="0" xfId="112" applyFont="1" applyFill="1" applyBorder="1" applyAlignment="1">
      <alignment horizontal="center"/>
    </xf>
    <xf numFmtId="0" fontId="178" fillId="28" borderId="15" xfId="112" applyFont="1" applyFill="1" applyBorder="1" applyAlignment="1">
      <alignment horizontal="left"/>
    </xf>
    <xf numFmtId="0" fontId="31" fillId="28" borderId="15" xfId="112" applyFont="1" applyFill="1" applyBorder="1" applyAlignment="1">
      <alignment horizontal="center"/>
    </xf>
    <xf numFmtId="0" fontId="32" fillId="28" borderId="12" xfId="112" applyFont="1" applyFill="1" applyBorder="1" applyAlignment="1">
      <alignment horizontal="center"/>
    </xf>
    <xf numFmtId="0" fontId="51" fillId="28" borderId="9" xfId="112" applyFont="1" applyFill="1" applyBorder="1" applyAlignment="1">
      <alignment horizontal="center"/>
    </xf>
    <xf numFmtId="0" fontId="155" fillId="25" borderId="0" xfId="112" applyFill="1" applyBorder="1" applyAlignment="1"/>
    <xf numFmtId="0" fontId="30" fillId="25" borderId="0" xfId="112" applyFont="1" applyFill="1" applyAlignment="1"/>
    <xf numFmtId="0" fontId="31" fillId="25" borderId="0" xfId="112" applyFont="1" applyFill="1" applyAlignment="1"/>
    <xf numFmtId="0" fontId="36" fillId="25" borderId="0" xfId="112" applyFont="1" applyFill="1" applyAlignment="1">
      <alignment horizontal="left" vertical="center"/>
    </xf>
    <xf numFmtId="0" fontId="29" fillId="28" borderId="24" xfId="112" applyFont="1" applyFill="1" applyBorder="1" applyAlignment="1">
      <alignment horizontal="right" vertical="center"/>
    </xf>
    <xf numFmtId="0" fontId="155" fillId="28" borderId="23" xfId="112" applyFill="1" applyBorder="1" applyAlignment="1">
      <alignment vertical="center"/>
    </xf>
    <xf numFmtId="0" fontId="54" fillId="28" borderId="23" xfId="66" applyFont="1" applyFill="1" applyBorder="1" applyAlignment="1" applyProtection="1">
      <alignment vertical="center"/>
    </xf>
    <xf numFmtId="0" fontId="54" fillId="28" borderId="23" xfId="66" applyFont="1" applyFill="1" applyBorder="1" applyAlignment="1" applyProtection="1">
      <alignment horizontal="left" vertical="center"/>
    </xf>
    <xf numFmtId="0" fontId="53" fillId="28" borderId="23" xfId="66" applyFont="1" applyFill="1" applyBorder="1" applyAlignment="1" applyProtection="1"/>
    <xf numFmtId="0" fontId="32" fillId="28" borderId="23" xfId="112" applyFont="1" applyFill="1" applyBorder="1" applyAlignment="1">
      <alignment horizontal="right" vertical="center"/>
    </xf>
    <xf numFmtId="0" fontId="30" fillId="28" borderId="23" xfId="112" applyFont="1" applyFill="1" applyBorder="1" applyAlignment="1">
      <alignment vertical="center"/>
    </xf>
    <xf numFmtId="0" fontId="31" fillId="28" borderId="23" xfId="112" applyFont="1" applyFill="1" applyBorder="1" applyAlignment="1">
      <alignment vertical="center"/>
    </xf>
    <xf numFmtId="0" fontId="31" fillId="28" borderId="23" xfId="112" applyFont="1" applyFill="1" applyBorder="1" applyAlignment="1">
      <alignment horizontal="center" vertical="center"/>
    </xf>
    <xf numFmtId="0" fontId="31" fillId="28" borderId="25" xfId="112" applyFont="1" applyFill="1" applyBorder="1" applyAlignment="1">
      <alignment horizontal="right" vertical="center"/>
    </xf>
    <xf numFmtId="2" fontId="8" fillId="24" borderId="13" xfId="112" applyNumberFormat="1" applyFont="1" applyFill="1" applyBorder="1"/>
    <xf numFmtId="167" fontId="155" fillId="23" borderId="0" xfId="112" applyNumberFormat="1" applyFill="1" applyBorder="1"/>
    <xf numFmtId="0" fontId="8" fillId="24" borderId="9" xfId="112" applyFont="1" applyFill="1" applyBorder="1"/>
    <xf numFmtId="167" fontId="155" fillId="24" borderId="9" xfId="112" applyNumberFormat="1" applyFill="1" applyBorder="1" applyAlignment="1">
      <alignment horizontal="right"/>
    </xf>
    <xf numFmtId="1" fontId="59" fillId="25" borderId="4" xfId="112" applyNumberFormat="1" applyFont="1" applyFill="1" applyBorder="1"/>
    <xf numFmtId="167" fontId="155" fillId="24" borderId="9" xfId="115" applyNumberFormat="1" applyFont="1" applyFill="1" applyBorder="1"/>
    <xf numFmtId="167" fontId="59" fillId="25" borderId="4" xfId="115" applyNumberFormat="1" applyFont="1" applyFill="1" applyBorder="1"/>
    <xf numFmtId="0" fontId="29" fillId="28" borderId="14" xfId="112" applyFont="1" applyFill="1" applyBorder="1"/>
    <xf numFmtId="2" fontId="56" fillId="25" borderId="0" xfId="112" applyNumberFormat="1" applyFont="1" applyFill="1" applyBorder="1" applyAlignment="1">
      <alignment horizontal="center"/>
    </xf>
    <xf numFmtId="0" fontId="8" fillId="26" borderId="79" xfId="112" applyFont="1" applyFill="1" applyBorder="1" applyAlignment="1">
      <alignment horizontal="left"/>
    </xf>
    <xf numFmtId="0" fontId="8" fillId="26" borderId="78" xfId="112" applyFont="1" applyFill="1" applyBorder="1" applyAlignment="1">
      <alignment horizontal="left"/>
    </xf>
    <xf numFmtId="0" fontId="155" fillId="26" borderId="78" xfId="112" applyFill="1" applyBorder="1"/>
    <xf numFmtId="0" fontId="49" fillId="26" borderId="77" xfId="112" applyFont="1" applyFill="1" applyBorder="1"/>
    <xf numFmtId="1" fontId="56" fillId="31" borderId="16" xfId="112" applyNumberFormat="1" applyFont="1" applyFill="1" applyBorder="1" applyAlignment="1">
      <alignment horizontal="center"/>
    </xf>
    <xf numFmtId="166" fontId="56" fillId="31" borderId="16" xfId="112" applyNumberFormat="1" applyFont="1" applyFill="1" applyBorder="1" applyAlignment="1">
      <alignment horizontal="center"/>
    </xf>
    <xf numFmtId="0" fontId="35" fillId="31" borderId="21" xfId="112" applyFont="1" applyFill="1" applyBorder="1"/>
    <xf numFmtId="1" fontId="30" fillId="25" borderId="0" xfId="112" applyNumberFormat="1" applyFont="1" applyFill="1" applyBorder="1" applyAlignment="1">
      <alignment horizontal="center"/>
    </xf>
    <xf numFmtId="1" fontId="32" fillId="0" borderId="0" xfId="112" applyNumberFormat="1" applyFont="1" applyFill="1" applyBorder="1"/>
    <xf numFmtId="2" fontId="30" fillId="25" borderId="0" xfId="112" applyNumberFormat="1" applyFont="1" applyFill="1" applyBorder="1" applyAlignment="1">
      <alignment horizontal="right"/>
    </xf>
    <xf numFmtId="168" fontId="59" fillId="0" borderId="0" xfId="112" applyNumberFormat="1" applyFont="1" applyFill="1" applyBorder="1"/>
    <xf numFmtId="167" fontId="59" fillId="0" borderId="0" xfId="112" applyNumberFormat="1" applyFont="1" applyFill="1" applyBorder="1"/>
    <xf numFmtId="167" fontId="155" fillId="24" borderId="9" xfId="116" applyNumberFormat="1" applyFont="1" applyFill="1" applyBorder="1"/>
    <xf numFmtId="167" fontId="59" fillId="25" borderId="4" xfId="116" applyNumberFormat="1" applyFont="1" applyFill="1" applyBorder="1"/>
    <xf numFmtId="0" fontId="29" fillId="28" borderId="24" xfId="112" applyFont="1" applyFill="1" applyBorder="1"/>
    <xf numFmtId="2" fontId="155" fillId="25" borderId="0" xfId="112" applyNumberFormat="1" applyFont="1" applyFill="1" applyBorder="1" applyAlignment="1">
      <alignment horizontal="right" vertical="center"/>
    </xf>
    <xf numFmtId="0" fontId="155" fillId="29" borderId="10" xfId="112" applyFill="1" applyBorder="1"/>
    <xf numFmtId="0" fontId="155" fillId="29" borderId="0" xfId="112" applyFont="1" applyFill="1" applyBorder="1"/>
    <xf numFmtId="0" fontId="155" fillId="29" borderId="9" xfId="112" applyFill="1" applyBorder="1"/>
    <xf numFmtId="0" fontId="8" fillId="29" borderId="0" xfId="112" applyFont="1" applyFill="1" applyBorder="1" applyAlignment="1">
      <alignment horizontal="left"/>
    </xf>
    <xf numFmtId="2" fontId="8" fillId="29" borderId="0" xfId="112" applyNumberFormat="1" applyFont="1" applyFill="1" applyBorder="1" applyAlignment="1">
      <alignment horizontal="center"/>
    </xf>
    <xf numFmtId="0" fontId="8" fillId="29" borderId="9" xfId="112" applyFont="1" applyFill="1" applyBorder="1" applyAlignment="1">
      <alignment horizontal="right"/>
    </xf>
    <xf numFmtId="0" fontId="32" fillId="28" borderId="0" xfId="112" applyFont="1" applyFill="1" applyBorder="1" applyAlignment="1">
      <alignment horizontal="left"/>
    </xf>
    <xf numFmtId="0" fontId="59" fillId="29" borderId="21" xfId="112" applyFont="1" applyFill="1" applyBorder="1"/>
    <xf numFmtId="0" fontId="59" fillId="24" borderId="0" xfId="112" applyFont="1" applyFill="1" applyBorder="1"/>
    <xf numFmtId="170" fontId="32" fillId="29" borderId="22" xfId="112" applyNumberFormat="1" applyFont="1" applyFill="1" applyBorder="1" applyAlignment="1">
      <alignment horizontal="right"/>
    </xf>
    <xf numFmtId="170" fontId="59" fillId="25" borderId="4" xfId="112" applyNumberFormat="1" applyFont="1" applyFill="1" applyBorder="1"/>
    <xf numFmtId="174" fontId="59" fillId="25" borderId="4" xfId="112" applyNumberFormat="1" applyFont="1" applyFill="1" applyBorder="1"/>
    <xf numFmtId="2" fontId="155" fillId="23" borderId="13" xfId="112" applyNumberFormat="1" applyFill="1" applyBorder="1"/>
    <xf numFmtId="176" fontId="155" fillId="24" borderId="9" xfId="112" applyNumberFormat="1" applyFont="1" applyFill="1" applyBorder="1"/>
    <xf numFmtId="172" fontId="155" fillId="23" borderId="0" xfId="112" applyNumberFormat="1" applyFill="1" applyBorder="1"/>
    <xf numFmtId="0" fontId="29" fillId="28" borderId="100" xfId="112" applyFont="1" applyFill="1" applyBorder="1"/>
    <xf numFmtId="166" fontId="8" fillId="25" borderId="0" xfId="112" applyNumberFormat="1" applyFont="1" applyFill="1" applyBorder="1"/>
    <xf numFmtId="171" fontId="59" fillId="25" borderId="4" xfId="112" applyNumberFormat="1" applyFont="1" applyFill="1" applyBorder="1"/>
    <xf numFmtId="167" fontId="155" fillId="0" borderId="0" xfId="112" applyNumberFormat="1" applyFill="1" applyBorder="1"/>
    <xf numFmtId="167" fontId="59" fillId="25" borderId="4" xfId="112" applyNumberFormat="1" applyFont="1" applyFill="1" applyBorder="1" applyAlignment="1">
      <alignment horizontal="left" indent="2"/>
    </xf>
    <xf numFmtId="167" fontId="155" fillId="24" borderId="9" xfId="117" applyNumberFormat="1" applyFont="1" applyFill="1" applyBorder="1"/>
    <xf numFmtId="167" fontId="59" fillId="25" borderId="4" xfId="117" applyNumberFormat="1" applyFont="1" applyFill="1" applyBorder="1"/>
    <xf numFmtId="0" fontId="29" fillId="28" borderId="10" xfId="112" applyFont="1" applyFill="1" applyBorder="1"/>
    <xf numFmtId="166" fontId="30" fillId="25" borderId="0" xfId="112" applyNumberFormat="1" applyFont="1" applyFill="1" applyBorder="1" applyAlignment="1">
      <alignment horizontal="center"/>
    </xf>
    <xf numFmtId="1" fontId="32" fillId="29" borderId="13" xfId="112" applyNumberFormat="1" applyFont="1" applyFill="1" applyBorder="1" applyAlignment="1">
      <alignment horizontal="center"/>
    </xf>
    <xf numFmtId="0" fontId="155" fillId="23" borderId="0" xfId="112" applyFont="1" applyFill="1" applyBorder="1" applyAlignment="1">
      <alignment horizontal="left"/>
    </xf>
    <xf numFmtId="169" fontId="155" fillId="23" borderId="9" xfId="113" applyNumberFormat="1" applyFont="1" applyFill="1" applyBorder="1" applyAlignment="1">
      <alignment horizontal="right"/>
    </xf>
    <xf numFmtId="0" fontId="162" fillId="70" borderId="176" xfId="104" applyFont="1" applyFill="1" applyBorder="1" applyAlignment="1">
      <alignment horizontal="justify" wrapText="1"/>
    </xf>
    <xf numFmtId="0" fontId="162" fillId="70" borderId="207" xfId="104" applyFont="1" applyFill="1" applyBorder="1" applyAlignment="1">
      <alignment vertical="top" wrapText="1"/>
    </xf>
    <xf numFmtId="0" fontId="162" fillId="70" borderId="23" xfId="104" applyFont="1" applyFill="1" applyBorder="1" applyAlignment="1">
      <alignment vertical="top" wrapText="1"/>
    </xf>
    <xf numFmtId="0" fontId="155" fillId="70" borderId="207" xfId="104" applyFont="1" applyFill="1" applyBorder="1" applyAlignment="1">
      <alignment vertical="center" wrapText="1"/>
    </xf>
    <xf numFmtId="0" fontId="155" fillId="70" borderId="23" xfId="104" applyFont="1" applyFill="1" applyBorder="1" applyAlignment="1">
      <alignment vertical="center" wrapText="1"/>
    </xf>
    <xf numFmtId="0" fontId="155" fillId="70" borderId="23" xfId="104" applyFont="1" applyFill="1" applyBorder="1" applyAlignment="1">
      <alignment vertical="top" wrapText="1"/>
    </xf>
    <xf numFmtId="0" fontId="162" fillId="70" borderId="207" xfId="104" applyFont="1" applyFill="1" applyBorder="1" applyAlignment="1">
      <alignment vertical="center" wrapText="1"/>
    </xf>
    <xf numFmtId="0" fontId="162" fillId="70" borderId="23" xfId="104" applyFont="1" applyFill="1" applyBorder="1" applyAlignment="1">
      <alignment vertical="center" wrapText="1"/>
    </xf>
    <xf numFmtId="0" fontId="162" fillId="70" borderId="100" xfId="104" applyFont="1" applyFill="1" applyBorder="1" applyAlignment="1">
      <alignment vertical="top" wrapText="1"/>
    </xf>
    <xf numFmtId="0" fontId="155" fillId="70" borderId="100" xfId="104" applyFont="1" applyFill="1" applyBorder="1" applyAlignment="1">
      <alignment vertical="center" wrapText="1"/>
    </xf>
    <xf numFmtId="0" fontId="155" fillId="70" borderId="100" xfId="104" applyFont="1" applyFill="1" applyBorder="1" applyAlignment="1">
      <alignment vertical="top" wrapText="1"/>
    </xf>
    <xf numFmtId="0" fontId="162" fillId="70" borderId="100" xfId="104" applyFont="1" applyFill="1" applyBorder="1" applyAlignment="1">
      <alignment vertical="center" wrapText="1"/>
    </xf>
    <xf numFmtId="0" fontId="162" fillId="70" borderId="19" xfId="104" applyFont="1" applyFill="1" applyBorder="1" applyAlignment="1">
      <alignment horizontal="justify" wrapText="1"/>
    </xf>
    <xf numFmtId="0" fontId="162" fillId="70" borderId="0" xfId="104" applyFont="1" applyFill="1" applyBorder="1" applyAlignment="1">
      <alignment horizontal="justify" wrapText="1"/>
    </xf>
    <xf numFmtId="0" fontId="162" fillId="70" borderId="29" xfId="104" applyFont="1" applyFill="1" applyBorder="1" applyAlignment="1">
      <alignment horizontal="justify" wrapText="1"/>
    </xf>
    <xf numFmtId="0" fontId="81" fillId="61" borderId="11" xfId="108" applyFont="1" applyFill="1" applyBorder="1" applyAlignment="1">
      <alignment horizontal="left" vertical="center"/>
    </xf>
    <xf numFmtId="0" fontId="155" fillId="0" borderId="0" xfId="108" applyBorder="1"/>
    <xf numFmtId="0" fontId="29" fillId="0" borderId="0" xfId="108" applyFont="1" applyFill="1" applyBorder="1" applyAlignment="1">
      <alignment horizontal="right" vertical="center"/>
    </xf>
    <xf numFmtId="0" fontId="175" fillId="0" borderId="101" xfId="104" applyFont="1" applyFill="1" applyBorder="1" applyAlignment="1">
      <alignment vertical="center" wrapText="1"/>
    </xf>
    <xf numFmtId="0" fontId="175" fillId="0" borderId="79" xfId="104" applyFont="1" applyFill="1" applyBorder="1" applyAlignment="1">
      <alignment horizontal="center" vertical="center" wrapText="1"/>
    </xf>
    <xf numFmtId="10" fontId="175" fillId="0" borderId="79" xfId="104" applyNumberFormat="1" applyFont="1" applyFill="1" applyBorder="1" applyAlignment="1">
      <alignment horizontal="center" vertical="center" wrapText="1"/>
    </xf>
    <xf numFmtId="0" fontId="175" fillId="0" borderId="0" xfId="104" applyFont="1" applyFill="1"/>
    <xf numFmtId="0" fontId="3" fillId="64" borderId="0" xfId="104" applyFill="1" applyBorder="1"/>
    <xf numFmtId="0" fontId="3" fillId="64" borderId="9" xfId="104" applyFill="1" applyBorder="1"/>
    <xf numFmtId="0" fontId="3" fillId="68" borderId="0" xfId="104" applyFill="1" applyBorder="1"/>
    <xf numFmtId="167" fontId="59" fillId="68" borderId="4" xfId="106" applyNumberFormat="1" applyFont="1" applyFill="1" applyBorder="1"/>
    <xf numFmtId="0" fontId="3" fillId="68" borderId="0" xfId="104" applyFill="1" applyBorder="1" applyAlignment="1">
      <alignment horizontal="left"/>
    </xf>
    <xf numFmtId="0" fontId="3" fillId="68" borderId="9" xfId="104" applyFill="1" applyBorder="1"/>
    <xf numFmtId="169" fontId="59" fillId="68" borderId="4" xfId="104" applyNumberFormat="1" applyFont="1" applyFill="1" applyBorder="1"/>
    <xf numFmtId="167" fontId="59" fillId="68" borderId="4" xfId="104" applyNumberFormat="1" applyFont="1" applyFill="1" applyBorder="1"/>
    <xf numFmtId="167" fontId="27" fillId="68" borderId="0" xfId="104" applyNumberFormat="1" applyFont="1" applyFill="1" applyBorder="1"/>
    <xf numFmtId="166" fontId="59" fillId="68" borderId="4" xfId="104" applyNumberFormat="1" applyFont="1" applyFill="1" applyBorder="1"/>
    <xf numFmtId="166" fontId="27" fillId="68" borderId="0" xfId="104" applyNumberFormat="1" applyFont="1" applyFill="1" applyBorder="1"/>
    <xf numFmtId="1" fontId="59" fillId="68" borderId="4" xfId="104" applyNumberFormat="1" applyFont="1" applyFill="1" applyBorder="1"/>
    <xf numFmtId="0" fontId="27" fillId="68" borderId="0" xfId="104" applyFont="1" applyFill="1" applyBorder="1"/>
    <xf numFmtId="2" fontId="59" fillId="68" borderId="4" xfId="104" applyNumberFormat="1" applyFont="1" applyFill="1" applyBorder="1"/>
    <xf numFmtId="0" fontId="27" fillId="68" borderId="0" xfId="108" applyFont="1" applyFill="1" applyBorder="1"/>
    <xf numFmtId="0" fontId="155" fillId="68" borderId="0" xfId="108" applyFill="1" applyBorder="1"/>
    <xf numFmtId="0" fontId="3" fillId="68" borderId="20" xfId="104" applyFill="1" applyBorder="1"/>
    <xf numFmtId="0" fontId="3" fillId="68" borderId="21" xfId="104" applyFill="1" applyBorder="1"/>
    <xf numFmtId="0" fontId="74" fillId="68" borderId="29" xfId="108" applyFont="1" applyFill="1" applyBorder="1" applyAlignment="1">
      <alignment horizontal="left"/>
    </xf>
    <xf numFmtId="0" fontId="7" fillId="68" borderId="19" xfId="104" applyFont="1" applyFill="1" applyBorder="1"/>
    <xf numFmtId="0" fontId="3" fillId="68" borderId="19" xfId="104" applyFill="1" applyBorder="1"/>
    <xf numFmtId="0" fontId="155" fillId="68" borderId="29" xfId="108" applyFill="1" applyBorder="1"/>
    <xf numFmtId="0" fontId="3" fillId="68" borderId="29" xfId="104" applyFill="1" applyBorder="1"/>
    <xf numFmtId="0" fontId="3" fillId="68" borderId="218" xfId="104" applyFill="1" applyBorder="1"/>
    <xf numFmtId="0" fontId="3" fillId="68" borderId="30" xfId="104" applyFill="1" applyBorder="1"/>
    <xf numFmtId="0" fontId="155" fillId="71" borderId="77" xfId="108" applyFill="1" applyBorder="1"/>
    <xf numFmtId="0" fontId="155" fillId="71" borderId="78" xfId="108" applyFill="1" applyBorder="1"/>
    <xf numFmtId="0" fontId="32" fillId="71" borderId="78" xfId="108" applyFont="1" applyFill="1" applyBorder="1" applyAlignment="1">
      <alignment horizontal="right"/>
    </xf>
    <xf numFmtId="0" fontId="155" fillId="71" borderId="79" xfId="108" applyFill="1" applyBorder="1"/>
    <xf numFmtId="0" fontId="29" fillId="28" borderId="80" xfId="0" applyFont="1" applyFill="1" applyBorder="1"/>
    <xf numFmtId="0" fontId="30" fillId="28" borderId="162" xfId="0" applyFont="1" applyFill="1" applyBorder="1"/>
    <xf numFmtId="0" fontId="30" fillId="28" borderId="55" xfId="0" applyFont="1" applyFill="1" applyBorder="1"/>
    <xf numFmtId="0" fontId="155" fillId="0" borderId="77" xfId="108" applyFill="1" applyBorder="1"/>
    <xf numFmtId="0" fontId="155" fillId="0" borderId="78" xfId="108" applyFill="1" applyBorder="1"/>
    <xf numFmtId="0" fontId="8" fillId="0" borderId="78" xfId="108" applyFont="1" applyFill="1" applyBorder="1" applyAlignment="1">
      <alignment horizontal="right"/>
    </xf>
    <xf numFmtId="2" fontId="8" fillId="0" borderId="79" xfId="108" applyNumberFormat="1" applyFont="1" applyFill="1" applyBorder="1" applyAlignment="1">
      <alignment horizontal="center"/>
    </xf>
    <xf numFmtId="0" fontId="176" fillId="0" borderId="17" xfId="108" applyFont="1" applyFill="1" applyBorder="1" applyAlignment="1">
      <alignment horizontal="center" vertical="center"/>
    </xf>
    <xf numFmtId="0" fontId="36" fillId="0" borderId="165" xfId="108" applyFont="1" applyFill="1" applyBorder="1" applyAlignment="1">
      <alignment horizontal="center" vertical="center"/>
    </xf>
    <xf numFmtId="0" fontId="8" fillId="0" borderId="198" xfId="108" applyFont="1" applyFill="1" applyBorder="1"/>
    <xf numFmtId="168" fontId="27" fillId="0" borderId="198" xfId="108" applyNumberFormat="1" applyFont="1" applyFill="1" applyBorder="1"/>
    <xf numFmtId="166" fontId="155" fillId="0" borderId="198" xfId="108" applyNumberFormat="1" applyFill="1" applyBorder="1"/>
    <xf numFmtId="0" fontId="8" fillId="68" borderId="165" xfId="104" applyFont="1" applyFill="1" applyBorder="1"/>
    <xf numFmtId="0" fontId="8" fillId="68" borderId="9" xfId="104" applyFont="1" applyFill="1" applyBorder="1"/>
    <xf numFmtId="0" fontId="155" fillId="68" borderId="9" xfId="104" applyFont="1" applyFill="1" applyBorder="1"/>
    <xf numFmtId="0" fontId="3" fillId="68" borderId="165" xfId="104" applyFill="1" applyBorder="1"/>
    <xf numFmtId="167" fontId="59" fillId="68" borderId="203" xfId="106" applyNumberFormat="1" applyFont="1" applyFill="1" applyBorder="1"/>
    <xf numFmtId="169" fontId="59" fillId="68" borderId="203" xfId="104" applyNumberFormat="1" applyFont="1" applyFill="1" applyBorder="1"/>
    <xf numFmtId="167" fontId="59" fillId="68" borderId="203" xfId="104" applyNumberFormat="1" applyFont="1" applyFill="1" applyBorder="1"/>
    <xf numFmtId="167" fontId="27" fillId="68" borderId="9" xfId="104" applyNumberFormat="1" applyFont="1" applyFill="1" applyBorder="1"/>
    <xf numFmtId="166" fontId="59" fillId="68" borderId="203" xfId="104" applyNumberFormat="1" applyFont="1" applyFill="1" applyBorder="1"/>
    <xf numFmtId="166" fontId="27" fillId="68" borderId="9" xfId="104" applyNumberFormat="1" applyFont="1" applyFill="1" applyBorder="1"/>
    <xf numFmtId="1" fontId="59" fillId="68" borderId="203" xfId="104" applyNumberFormat="1" applyFont="1" applyFill="1" applyBorder="1"/>
    <xf numFmtId="0" fontId="27" fillId="68" borderId="9" xfId="104" applyFont="1" applyFill="1" applyBorder="1"/>
    <xf numFmtId="2" fontId="59" fillId="68" borderId="203" xfId="104" applyNumberFormat="1" applyFont="1" applyFill="1" applyBorder="1"/>
    <xf numFmtId="168" fontId="27" fillId="68" borderId="9" xfId="104" applyNumberFormat="1" applyFont="1" applyFill="1" applyBorder="1"/>
    <xf numFmtId="0" fontId="74" fillId="68" borderId="165" xfId="108" applyFont="1" applyFill="1" applyBorder="1"/>
    <xf numFmtId="0" fontId="74" fillId="68" borderId="18" xfId="108" applyFont="1" applyFill="1" applyBorder="1" applyAlignment="1">
      <alignment horizontal="left"/>
    </xf>
    <xf numFmtId="0" fontId="74" fillId="68" borderId="36" xfId="108" applyFont="1" applyFill="1" applyBorder="1" applyAlignment="1">
      <alignment horizontal="left"/>
    </xf>
    <xf numFmtId="0" fontId="74" fillId="68" borderId="9" xfId="108" applyFont="1" applyFill="1" applyBorder="1"/>
    <xf numFmtId="0" fontId="36" fillId="68" borderId="9" xfId="108" applyFont="1" applyFill="1" applyBorder="1"/>
    <xf numFmtId="0" fontId="8" fillId="68" borderId="9" xfId="108" applyFont="1" applyFill="1" applyBorder="1"/>
    <xf numFmtId="0" fontId="3" fillId="64" borderId="17" xfId="104" applyFill="1" applyBorder="1"/>
    <xf numFmtId="0" fontId="8" fillId="64" borderId="18" xfId="104" applyFont="1" applyFill="1" applyBorder="1"/>
    <xf numFmtId="0" fontId="3" fillId="64" borderId="18" xfId="104" applyFill="1" applyBorder="1"/>
    <xf numFmtId="0" fontId="29" fillId="64" borderId="36" xfId="108" applyFont="1" applyFill="1" applyBorder="1"/>
    <xf numFmtId="0" fontId="3" fillId="64" borderId="19" xfId="104" applyFill="1" applyBorder="1"/>
    <xf numFmtId="0" fontId="8" fillId="64" borderId="29" xfId="108" applyFont="1" applyFill="1" applyBorder="1" applyAlignment="1">
      <alignment horizontal="left"/>
    </xf>
    <xf numFmtId="0" fontId="155" fillId="64" borderId="77" xfId="104" applyFont="1" applyFill="1" applyBorder="1"/>
    <xf numFmtId="0" fontId="155" fillId="64" borderId="79" xfId="108" applyFont="1" applyFill="1" applyBorder="1" applyAlignment="1">
      <alignment horizontal="right"/>
    </xf>
    <xf numFmtId="0" fontId="3" fillId="64" borderId="165" xfId="104" applyFill="1" applyBorder="1"/>
    <xf numFmtId="0" fontId="155" fillId="64" borderId="198" xfId="104" applyFont="1" applyFill="1" applyBorder="1"/>
    <xf numFmtId="0" fontId="29" fillId="61" borderId="17" xfId="104" applyFont="1" applyFill="1" applyBorder="1"/>
    <xf numFmtId="0" fontId="3" fillId="61" borderId="18" xfId="104" applyFill="1" applyBorder="1"/>
    <xf numFmtId="0" fontId="155" fillId="61" borderId="36" xfId="108" applyFill="1" applyBorder="1"/>
    <xf numFmtId="2" fontId="59" fillId="25" borderId="241" xfId="0" applyNumberFormat="1" applyFont="1" applyFill="1" applyBorder="1"/>
    <xf numFmtId="168" fontId="59" fillId="25" borderId="203" xfId="0" applyNumberFormat="1" applyFont="1" applyFill="1" applyBorder="1"/>
    <xf numFmtId="2" fontId="59" fillId="25" borderId="242" xfId="0" applyNumberFormat="1" applyFont="1" applyFill="1" applyBorder="1"/>
    <xf numFmtId="0" fontId="155" fillId="0" borderId="100" xfId="108" applyFont="1" applyFill="1" applyBorder="1" applyAlignment="1">
      <alignment horizontal="right"/>
    </xf>
    <xf numFmtId="0" fontId="155" fillId="0" borderId="100" xfId="108" applyFill="1" applyBorder="1"/>
    <xf numFmtId="0" fontId="181" fillId="0" borderId="100" xfId="104" applyFont="1" applyFill="1" applyBorder="1" applyAlignment="1">
      <alignment vertical="center"/>
    </xf>
    <xf numFmtId="0" fontId="36" fillId="0" borderId="100" xfId="108" applyFont="1" applyFill="1" applyBorder="1" applyAlignment="1"/>
    <xf numFmtId="0" fontId="175" fillId="0" borderId="100" xfId="104" applyFont="1" applyFill="1" applyBorder="1" applyAlignment="1">
      <alignment vertical="center"/>
    </xf>
    <xf numFmtId="166" fontId="155" fillId="0" borderId="100" xfId="108" applyNumberFormat="1" applyFill="1" applyBorder="1"/>
    <xf numFmtId="0" fontId="155" fillId="0" borderId="100" xfId="108" applyFont="1" applyFill="1" applyBorder="1"/>
    <xf numFmtId="0" fontId="162" fillId="70" borderId="29" xfId="104" applyFont="1" applyFill="1" applyBorder="1" applyAlignment="1">
      <alignment horizontal="justify" wrapText="1"/>
    </xf>
    <xf numFmtId="0" fontId="162" fillId="70" borderId="19" xfId="104" applyFont="1" applyFill="1" applyBorder="1" applyAlignment="1">
      <alignment horizontal="left" wrapText="1"/>
    </xf>
    <xf numFmtId="0" fontId="162" fillId="70" borderId="0" xfId="104" applyFont="1" applyFill="1" applyBorder="1" applyAlignment="1">
      <alignment horizontal="left" wrapText="1"/>
    </xf>
    <xf numFmtId="0" fontId="162" fillId="70" borderId="29" xfId="104" applyFont="1" applyFill="1" applyBorder="1" applyAlignment="1">
      <alignment horizontal="left" wrapText="1"/>
    </xf>
    <xf numFmtId="0" fontId="75" fillId="0" borderId="0" xfId="66" applyFont="1" applyBorder="1" applyAlignment="1" applyProtection="1">
      <alignment horizontal="justify" vertical="top" wrapText="1"/>
    </xf>
    <xf numFmtId="0" fontId="155" fillId="24" borderId="0" xfId="0" applyFont="1" applyFill="1" applyBorder="1" applyAlignment="1">
      <alignment horizontal="left"/>
    </xf>
    <xf numFmtId="0" fontId="8" fillId="62" borderId="0" xfId="104" applyFont="1" applyFill="1" applyBorder="1" applyAlignment="1">
      <alignment horizontal="left" vertical="center"/>
    </xf>
    <xf numFmtId="0" fontId="162" fillId="62" borderId="0" xfId="104" applyFont="1" applyFill="1" applyBorder="1" applyAlignment="1">
      <alignment vertical="center"/>
    </xf>
    <xf numFmtId="0" fontId="155" fillId="24" borderId="0" xfId="0" applyFont="1" applyFill="1" applyBorder="1" applyAlignment="1">
      <alignment horizontal="left"/>
    </xf>
    <xf numFmtId="0" fontId="74" fillId="0" borderId="175" xfId="0" applyFont="1" applyBorder="1" applyAlignment="1">
      <alignment horizontal="left"/>
    </xf>
    <xf numFmtId="0" fontId="75" fillId="0" borderId="100" xfId="66" applyFont="1" applyBorder="1" applyAlignment="1" applyProtection="1"/>
    <xf numFmtId="0" fontId="75" fillId="0" borderId="100" xfId="66" quotePrefix="1" applyFont="1" applyBorder="1" applyAlignment="1" applyProtection="1"/>
    <xf numFmtId="0" fontId="74" fillId="0" borderId="0" xfId="108" applyFont="1" applyFill="1" applyBorder="1" applyAlignment="1">
      <alignment vertical="center"/>
    </xf>
    <xf numFmtId="0" fontId="74" fillId="0" borderId="177" xfId="0" applyFont="1" applyBorder="1" applyAlignment="1">
      <alignment horizontal="left"/>
    </xf>
    <xf numFmtId="0" fontId="75" fillId="0" borderId="178" xfId="66" applyFont="1" applyBorder="1" applyAlignment="1" applyProtection="1"/>
    <xf numFmtId="0" fontId="74" fillId="0" borderId="14" xfId="0" applyFont="1" applyBorder="1" applyAlignment="1">
      <alignment horizontal="center"/>
    </xf>
    <xf numFmtId="0" fontId="75" fillId="0" borderId="11" xfId="66" applyFont="1" applyBorder="1" applyAlignment="1" applyProtection="1">
      <alignment horizontal="justify" vertical="top" wrapText="1"/>
    </xf>
    <xf numFmtId="0" fontId="75" fillId="0" borderId="11" xfId="66" applyFont="1" applyBorder="1" applyAlignment="1" applyProtection="1">
      <alignment horizontal="left" vertical="top" wrapText="1"/>
    </xf>
    <xf numFmtId="0" fontId="75" fillId="0" borderId="11" xfId="66" applyFont="1" applyBorder="1" applyAlignment="1" applyProtection="1">
      <alignment vertical="top"/>
    </xf>
    <xf numFmtId="0" fontId="74" fillId="0" borderId="14" xfId="0" applyFont="1" applyBorder="1"/>
    <xf numFmtId="0" fontId="74" fillId="0" borderId="24" xfId="0" applyFont="1" applyBorder="1"/>
    <xf numFmtId="0" fontId="75" fillId="0" borderId="11" xfId="66" applyFont="1" applyBorder="1" applyAlignment="1" applyProtection="1"/>
    <xf numFmtId="0" fontId="74" fillId="0" borderId="207" xfId="0" applyFont="1" applyBorder="1" applyAlignment="1">
      <alignment horizontal="left" vertical="top"/>
    </xf>
    <xf numFmtId="0" fontId="74" fillId="0" borderId="197" xfId="0" applyFont="1" applyBorder="1" applyAlignment="1">
      <alignment horizontal="left" vertical="top"/>
    </xf>
    <xf numFmtId="0" fontId="74" fillId="0" borderId="181" xfId="0" applyFont="1" applyBorder="1" applyAlignment="1">
      <alignment horizontal="left" vertical="top"/>
    </xf>
    <xf numFmtId="0" fontId="75" fillId="0" borderId="214" xfId="66" applyFont="1" applyBorder="1" applyAlignment="1" applyProtection="1">
      <alignment horizontal="justify" vertical="top" wrapText="1"/>
    </xf>
    <xf numFmtId="0" fontId="74" fillId="0" borderId="190" xfId="0" applyFont="1" applyBorder="1" applyAlignment="1">
      <alignment horizontal="center"/>
    </xf>
    <xf numFmtId="0" fontId="11" fillId="70" borderId="19" xfId="66" applyFill="1" applyBorder="1" applyAlignment="1" applyProtection="1">
      <alignment horizontal="left" wrapText="1"/>
    </xf>
    <xf numFmtId="0" fontId="155" fillId="0" borderId="0" xfId="108" applyFill="1" applyBorder="1" applyAlignment="1">
      <alignment vertical="center"/>
    </xf>
    <xf numFmtId="0" fontId="0" fillId="70" borderId="207" xfId="104" applyFont="1" applyFill="1" applyBorder="1" applyAlignment="1">
      <alignment vertical="top" wrapText="1"/>
    </xf>
    <xf numFmtId="0" fontId="0" fillId="62" borderId="212" xfId="104" applyFont="1" applyFill="1" applyBorder="1" applyAlignment="1">
      <alignment vertical="center"/>
    </xf>
    <xf numFmtId="0" fontId="186" fillId="62" borderId="176" xfId="104" applyFont="1" applyFill="1" applyBorder="1" applyAlignment="1">
      <alignment vertical="center" wrapText="1"/>
    </xf>
    <xf numFmtId="0" fontId="186" fillId="62" borderId="179" xfId="104" applyFont="1" applyFill="1" applyBorder="1" applyAlignment="1">
      <alignment vertical="center" wrapText="1"/>
    </xf>
    <xf numFmtId="0" fontId="186" fillId="62" borderId="29" xfId="104" quotePrefix="1" applyFont="1" applyFill="1" applyBorder="1" applyAlignment="1">
      <alignment vertical="center" wrapText="1"/>
    </xf>
    <xf numFmtId="0" fontId="186" fillId="62" borderId="217" xfId="104" applyFont="1" applyFill="1" applyBorder="1" applyAlignment="1">
      <alignment vertical="center" wrapText="1"/>
    </xf>
    <xf numFmtId="0" fontId="186" fillId="62" borderId="0" xfId="104" applyFont="1" applyFill="1" applyBorder="1" applyAlignment="1">
      <alignment vertical="center"/>
    </xf>
    <xf numFmtId="0" fontId="186" fillId="24" borderId="0" xfId="104" applyFont="1" applyFill="1" applyBorder="1" applyAlignment="1">
      <alignment horizontal="right" vertical="center"/>
    </xf>
    <xf numFmtId="0" fontId="186" fillId="67" borderId="175" xfId="104" applyFont="1" applyFill="1" applyBorder="1" applyAlignment="1">
      <alignment horizontal="center" vertical="center" wrapText="1"/>
    </xf>
    <xf numFmtId="0" fontId="186" fillId="24" borderId="0" xfId="104" applyFont="1" applyFill="1" applyBorder="1" applyAlignment="1">
      <alignment horizontal="right" vertical="center" indent="2"/>
    </xf>
    <xf numFmtId="0" fontId="186" fillId="24" borderId="112" xfId="104" applyFont="1" applyFill="1" applyBorder="1" applyAlignment="1">
      <alignment horizontal="center" vertical="center"/>
    </xf>
    <xf numFmtId="0" fontId="186" fillId="24" borderId="178" xfId="104" applyFont="1" applyFill="1" applyBorder="1" applyAlignment="1">
      <alignment horizontal="center" vertical="center" wrapText="1"/>
    </xf>
    <xf numFmtId="0" fontId="186" fillId="24" borderId="175" xfId="104" applyFont="1" applyFill="1" applyBorder="1" applyAlignment="1">
      <alignment vertical="center"/>
    </xf>
    <xf numFmtId="0" fontId="0" fillId="24" borderId="0" xfId="104" applyFont="1" applyFill="1" applyBorder="1" applyAlignment="1">
      <alignment horizontal="right" vertical="center"/>
    </xf>
    <xf numFmtId="1" fontId="0" fillId="66" borderId="9" xfId="104" applyNumberFormat="1" applyFont="1" applyFill="1" applyBorder="1" applyAlignment="1">
      <alignment horizontal="left" vertical="center"/>
    </xf>
    <xf numFmtId="1" fontId="0" fillId="66" borderId="9" xfId="104" applyNumberFormat="1" applyFont="1" applyFill="1" applyBorder="1" applyAlignment="1">
      <alignment vertical="center"/>
    </xf>
    <xf numFmtId="0" fontId="0" fillId="24" borderId="178" xfId="104" applyFont="1" applyFill="1" applyBorder="1" applyAlignment="1">
      <alignment horizontal="center" vertical="center" wrapText="1"/>
    </xf>
    <xf numFmtId="0" fontId="0" fillId="24" borderId="112" xfId="104" applyFont="1" applyFill="1" applyBorder="1" applyAlignment="1">
      <alignment horizontal="center" vertical="center"/>
    </xf>
    <xf numFmtId="0" fontId="0" fillId="24" borderId="0" xfId="104" applyFont="1" applyFill="1" applyBorder="1" applyAlignment="1">
      <alignment vertical="center"/>
    </xf>
    <xf numFmtId="0" fontId="0" fillId="24" borderId="175" xfId="104" applyFont="1" applyFill="1" applyBorder="1" applyAlignment="1">
      <alignment vertical="center"/>
    </xf>
    <xf numFmtId="1" fontId="0" fillId="66" borderId="0" xfId="104" applyNumberFormat="1" applyFont="1" applyFill="1" applyBorder="1" applyAlignment="1">
      <alignment vertical="center"/>
    </xf>
    <xf numFmtId="0" fontId="0" fillId="23" borderId="21" xfId="0" applyFont="1" applyFill="1" applyBorder="1" applyAlignment="1">
      <alignment horizontal="left"/>
    </xf>
    <xf numFmtId="0" fontId="0" fillId="23" borderId="0" xfId="0" applyFont="1" applyFill="1" applyBorder="1"/>
    <xf numFmtId="0" fontId="162" fillId="70" borderId="29" xfId="104" applyFont="1" applyFill="1" applyBorder="1" applyAlignment="1">
      <alignment horizontal="justify" wrapText="1"/>
    </xf>
    <xf numFmtId="0" fontId="155" fillId="24" borderId="0" xfId="104" applyFont="1" applyFill="1" applyBorder="1" applyAlignment="1">
      <alignment horizontal="right" vertical="center"/>
    </xf>
    <xf numFmtId="0" fontId="186" fillId="62" borderId="0" xfId="104" applyFont="1" applyFill="1" applyBorder="1" applyAlignment="1">
      <alignment horizontal="right" vertical="center"/>
    </xf>
    <xf numFmtId="0" fontId="186" fillId="62" borderId="29" xfId="104" applyFont="1" applyFill="1" applyBorder="1" applyAlignment="1">
      <alignment vertical="center"/>
    </xf>
    <xf numFmtId="0" fontId="186" fillId="26" borderId="19" xfId="0" applyFont="1" applyFill="1" applyBorder="1" applyAlignment="1">
      <alignment horizontal="left" vertical="top"/>
    </xf>
    <xf numFmtId="0" fontId="189" fillId="25" borderId="0" xfId="0" applyFont="1" applyFill="1" applyBorder="1"/>
    <xf numFmtId="0" fontId="186" fillId="24" borderId="13" xfId="0" applyFont="1" applyFill="1" applyBorder="1" applyAlignment="1">
      <alignment vertical="center" wrapText="1"/>
    </xf>
    <xf numFmtId="0" fontId="186" fillId="23" borderId="0" xfId="0" applyFont="1" applyFill="1" applyBorder="1"/>
    <xf numFmtId="0" fontId="186" fillId="24" borderId="13" xfId="0" applyFont="1" applyFill="1" applyBorder="1" applyAlignment="1">
      <alignment wrapText="1"/>
    </xf>
    <xf numFmtId="0" fontId="186" fillId="24" borderId="0" xfId="0" applyFont="1" applyFill="1" applyBorder="1" applyAlignment="1">
      <alignment horizontal="right"/>
    </xf>
    <xf numFmtId="2" fontId="186" fillId="24" borderId="0" xfId="0" applyNumberFormat="1" applyFont="1" applyFill="1" applyBorder="1" applyAlignment="1">
      <alignment horizontal="right"/>
    </xf>
    <xf numFmtId="0" fontId="186" fillId="23" borderId="10" xfId="0" applyFont="1" applyFill="1" applyBorder="1" applyAlignment="1">
      <alignment horizontal="right"/>
    </xf>
    <xf numFmtId="0" fontId="1" fillId="68" borderId="9" xfId="104" applyFont="1" applyFill="1" applyBorder="1"/>
    <xf numFmtId="0" fontId="186" fillId="64" borderId="78" xfId="104" applyFont="1" applyFill="1" applyBorder="1"/>
    <xf numFmtId="0" fontId="1" fillId="64" borderId="0" xfId="104" applyFont="1" applyFill="1" applyBorder="1"/>
    <xf numFmtId="0" fontId="186" fillId="0" borderId="100" xfId="108" applyFont="1" applyFill="1" applyBorder="1" applyAlignment="1">
      <alignment horizontal="right"/>
    </xf>
    <xf numFmtId="0" fontId="189" fillId="25" borderId="19" xfId="0" applyFont="1" applyFill="1" applyBorder="1"/>
    <xf numFmtId="0" fontId="186" fillId="24" borderId="97" xfId="0" applyFont="1" applyFill="1" applyBorder="1"/>
    <xf numFmtId="0" fontId="186" fillId="26" borderId="19" xfId="0" applyFont="1" applyFill="1" applyBorder="1" applyAlignment="1">
      <alignment horizontal="left"/>
    </xf>
    <xf numFmtId="0" fontId="186" fillId="23" borderId="9" xfId="0" applyFont="1" applyFill="1" applyBorder="1"/>
    <xf numFmtId="0" fontId="186" fillId="24" borderId="13" xfId="0" applyFont="1" applyFill="1" applyBorder="1" applyAlignment="1">
      <alignment horizontal="left" wrapText="1"/>
    </xf>
    <xf numFmtId="0" fontId="186" fillId="23" borderId="13" xfId="0" applyFont="1" applyFill="1" applyBorder="1" applyAlignment="1">
      <alignment vertical="center"/>
    </xf>
    <xf numFmtId="0" fontId="186" fillId="24" borderId="100" xfId="0" applyFont="1" applyFill="1" applyBorder="1" applyAlignment="1">
      <alignment vertical="center" wrapText="1"/>
    </xf>
    <xf numFmtId="0" fontId="186" fillId="64" borderId="97" xfId="0" applyFont="1" applyFill="1" applyBorder="1"/>
    <xf numFmtId="0" fontId="186" fillId="24" borderId="10" xfId="0" applyFont="1" applyFill="1" applyBorder="1" applyAlignment="1">
      <alignment vertical="center" wrapText="1"/>
    </xf>
    <xf numFmtId="0" fontId="186" fillId="23" borderId="10" xfId="0" applyFont="1" applyFill="1" applyBorder="1" applyAlignment="1">
      <alignment wrapText="1"/>
    </xf>
    <xf numFmtId="0" fontId="186" fillId="24" borderId="10" xfId="0" applyFont="1" applyFill="1" applyBorder="1" applyAlignment="1">
      <alignment vertical="center"/>
    </xf>
    <xf numFmtId="0" fontId="186" fillId="24" borderId="9" xfId="0" applyFont="1" applyFill="1" applyBorder="1" applyAlignment="1">
      <alignment horizontal="left" wrapText="1"/>
    </xf>
    <xf numFmtId="0" fontId="186" fillId="24" borderId="0" xfId="0" applyFont="1" applyFill="1" applyBorder="1" applyAlignment="1">
      <alignment vertical="center" wrapText="1"/>
    </xf>
    <xf numFmtId="0" fontId="186" fillId="24" borderId="9" xfId="0" applyFont="1" applyFill="1" applyBorder="1" applyAlignment="1">
      <alignment wrapText="1"/>
    </xf>
    <xf numFmtId="0" fontId="186" fillId="23" borderId="9" xfId="0" applyFont="1" applyFill="1" applyBorder="1" applyAlignment="1">
      <alignment vertical="center"/>
    </xf>
    <xf numFmtId="0" fontId="186" fillId="63" borderId="9" xfId="0" applyFont="1" applyFill="1" applyBorder="1" applyAlignment="1">
      <alignment wrapText="1"/>
    </xf>
    <xf numFmtId="0" fontId="186" fillId="64" borderId="0" xfId="0" applyFont="1" applyFill="1"/>
    <xf numFmtId="0" fontId="186" fillId="63" borderId="9" xfId="0" applyFont="1" applyFill="1" applyBorder="1" applyAlignment="1">
      <alignment vertical="center"/>
    </xf>
    <xf numFmtId="0" fontId="191" fillId="28" borderId="25" xfId="118" applyFont="1" applyFill="1" applyBorder="1" applyAlignment="1" applyProtection="1">
      <alignment horizontal="left" vertical="center"/>
      <protection locked="0"/>
    </xf>
    <xf numFmtId="0" fontId="191" fillId="28" borderId="23" xfId="118" applyFont="1" applyFill="1" applyBorder="1" applyAlignment="1" applyProtection="1">
      <alignment horizontal="center" vertical="center"/>
      <protection locked="0"/>
    </xf>
    <xf numFmtId="0" fontId="191" fillId="28" borderId="23" xfId="118" applyFont="1" applyFill="1" applyBorder="1" applyAlignment="1" applyProtection="1">
      <alignment vertical="center"/>
      <protection locked="0"/>
    </xf>
    <xf numFmtId="0" fontId="192" fillId="28" borderId="23" xfId="118" applyFont="1" applyFill="1" applyBorder="1" applyAlignment="1" applyProtection="1">
      <alignment vertical="center"/>
      <protection locked="0"/>
    </xf>
    <xf numFmtId="0" fontId="193" fillId="28" borderId="23" xfId="118" applyFont="1" applyFill="1" applyBorder="1" applyAlignment="1" applyProtection="1">
      <alignment horizontal="right" vertical="center"/>
      <protection locked="0"/>
    </xf>
    <xf numFmtId="0" fontId="190" fillId="28" borderId="23" xfId="118" applyFill="1" applyBorder="1" applyAlignment="1" applyProtection="1">
      <alignment vertical="center"/>
      <protection locked="0"/>
    </xf>
    <xf numFmtId="0" fontId="194" fillId="28" borderId="23" xfId="118" applyFont="1" applyFill="1" applyBorder="1" applyAlignment="1" applyProtection="1">
      <alignment horizontal="right" vertical="center"/>
      <protection locked="0"/>
    </xf>
    <xf numFmtId="0" fontId="194" fillId="28" borderId="24" xfId="118" applyFont="1" applyFill="1" applyBorder="1" applyAlignment="1" applyProtection="1">
      <alignment horizontal="right" vertical="center"/>
      <protection locked="0"/>
    </xf>
    <xf numFmtId="0" fontId="190" fillId="70" borderId="0" xfId="119" applyFill="1" applyProtection="1">
      <protection locked="0"/>
    </xf>
    <xf numFmtId="0" fontId="190" fillId="75" borderId="17" xfId="119" applyFill="1" applyBorder="1" applyProtection="1">
      <protection locked="0"/>
    </xf>
    <xf numFmtId="0" fontId="195" fillId="75" borderId="18" xfId="119" applyFont="1" applyFill="1" applyBorder="1" applyProtection="1">
      <protection locked="0"/>
    </xf>
    <xf numFmtId="0" fontId="190" fillId="75" borderId="18" xfId="119" applyFill="1" applyBorder="1" applyAlignment="1" applyProtection="1">
      <alignment horizontal="right"/>
      <protection locked="0"/>
    </xf>
    <xf numFmtId="0" fontId="190" fillId="75" borderId="18" xfId="119" applyFill="1" applyBorder="1" applyProtection="1">
      <protection locked="0"/>
    </xf>
    <xf numFmtId="0" fontId="190" fillId="75" borderId="36" xfId="119" applyFill="1" applyBorder="1" applyProtection="1">
      <protection locked="0"/>
    </xf>
    <xf numFmtId="0" fontId="190" fillId="75" borderId="19" xfId="119" applyFill="1" applyBorder="1" applyProtection="1">
      <protection locked="0"/>
    </xf>
    <xf numFmtId="0" fontId="190" fillId="75" borderId="0" xfId="119" applyFill="1" applyBorder="1" applyProtection="1">
      <protection locked="0"/>
    </xf>
    <xf numFmtId="0" fontId="190" fillId="75" borderId="0" xfId="119" applyFont="1" applyFill="1" applyBorder="1" applyAlignment="1" applyProtection="1">
      <alignment horizontal="center" wrapText="1"/>
      <protection locked="0"/>
    </xf>
    <xf numFmtId="0" fontId="190" fillId="75" borderId="0" xfId="119" applyFill="1" applyBorder="1" applyAlignment="1" applyProtection="1">
      <alignment horizontal="center"/>
      <protection locked="0"/>
    </xf>
    <xf numFmtId="0" fontId="190" fillId="75" borderId="29" xfId="119" applyFill="1" applyBorder="1" applyProtection="1">
      <protection locked="0"/>
    </xf>
    <xf numFmtId="0" fontId="190" fillId="75" borderId="0" xfId="119" applyFont="1" applyFill="1" applyBorder="1" applyAlignment="1" applyProtection="1">
      <alignment horizontal="center"/>
      <protection locked="0"/>
    </xf>
    <xf numFmtId="0" fontId="190" fillId="75" borderId="0" xfId="119" applyFill="1" applyProtection="1">
      <protection locked="0"/>
    </xf>
    <xf numFmtId="166" fontId="196" fillId="70" borderId="243" xfId="119" applyNumberFormat="1" applyFont="1" applyFill="1" applyBorder="1" applyAlignment="1" applyProtection="1">
      <alignment horizontal="left"/>
      <protection locked="0"/>
    </xf>
    <xf numFmtId="166" fontId="196" fillId="70" borderId="244" xfId="119" applyNumberFormat="1" applyFont="1" applyFill="1" applyBorder="1" applyAlignment="1" applyProtection="1">
      <alignment horizontal="right" indent="1"/>
      <protection locked="0"/>
    </xf>
    <xf numFmtId="9" fontId="196" fillId="70" borderId="247" xfId="119" applyNumberFormat="1" applyFont="1" applyFill="1" applyBorder="1" applyAlignment="1" applyProtection="1">
      <alignment horizontal="center"/>
      <protection locked="0"/>
    </xf>
    <xf numFmtId="1" fontId="190" fillId="76" borderId="248" xfId="119" applyNumberFormat="1" applyFont="1" applyFill="1" applyBorder="1" applyAlignment="1" applyProtection="1">
      <alignment horizontal="right" indent="1"/>
      <protection locked="0"/>
    </xf>
    <xf numFmtId="0" fontId="190" fillId="75" borderId="0" xfId="119" applyFill="1" applyBorder="1" applyAlignment="1" applyProtection="1">
      <alignment horizontal="right" indent="1"/>
      <protection locked="0"/>
    </xf>
    <xf numFmtId="0" fontId="190" fillId="75" borderId="0" xfId="119" applyFont="1" applyFill="1" applyBorder="1" applyAlignment="1" applyProtection="1">
      <alignment horizontal="right" indent="1"/>
      <protection locked="0"/>
    </xf>
    <xf numFmtId="166" fontId="196" fillId="70" borderId="203" xfId="119" applyNumberFormat="1" applyFont="1" applyFill="1" applyBorder="1" applyAlignment="1" applyProtection="1">
      <alignment horizontal="left"/>
      <protection locked="0"/>
    </xf>
    <xf numFmtId="166" fontId="196" fillId="70" borderId="4" xfId="119" applyNumberFormat="1" applyFont="1" applyFill="1" applyBorder="1" applyAlignment="1" applyProtection="1">
      <alignment horizontal="right" indent="1"/>
      <protection locked="0"/>
    </xf>
    <xf numFmtId="9" fontId="196" fillId="70" borderId="193" xfId="119" applyNumberFormat="1" applyFont="1" applyFill="1" applyBorder="1" applyAlignment="1" applyProtection="1">
      <alignment horizontal="center"/>
      <protection locked="0"/>
    </xf>
    <xf numFmtId="1" fontId="190" fillId="76" borderId="251" xfId="119" applyNumberFormat="1" applyFont="1" applyFill="1" applyBorder="1" applyAlignment="1" applyProtection="1">
      <alignment horizontal="right" indent="1"/>
      <protection locked="0"/>
    </xf>
    <xf numFmtId="1" fontId="196" fillId="70" borderId="252" xfId="119" applyNumberFormat="1" applyFont="1" applyFill="1" applyBorder="1" applyAlignment="1" applyProtection="1">
      <alignment horizontal="right" indent="1"/>
      <protection locked="0"/>
    </xf>
    <xf numFmtId="1" fontId="196" fillId="70" borderId="253" xfId="119" applyNumberFormat="1" applyFont="1" applyFill="1" applyBorder="1" applyAlignment="1" applyProtection="1">
      <alignment horizontal="right" indent="1"/>
      <protection locked="0"/>
    </xf>
    <xf numFmtId="1" fontId="196" fillId="70" borderId="24" xfId="119" applyNumberFormat="1" applyFont="1" applyFill="1" applyBorder="1" applyAlignment="1" applyProtection="1">
      <alignment horizontal="right" indent="1"/>
      <protection locked="0"/>
    </xf>
    <xf numFmtId="1" fontId="190" fillId="76" borderId="100" xfId="119" applyNumberFormat="1" applyFill="1" applyBorder="1" applyAlignment="1" applyProtection="1">
      <alignment horizontal="right" indent="1"/>
      <protection locked="0"/>
    </xf>
    <xf numFmtId="166" fontId="196" fillId="70" borderId="203" xfId="119" applyNumberFormat="1" applyFont="1" applyFill="1" applyBorder="1" applyAlignment="1" applyProtection="1">
      <alignment horizontal="left" indent="1"/>
      <protection locked="0"/>
    </xf>
    <xf numFmtId="9" fontId="190" fillId="70" borderId="193" xfId="119" applyNumberFormat="1" applyFill="1" applyBorder="1" applyAlignment="1" applyProtection="1">
      <alignment horizontal="center"/>
      <protection locked="0"/>
    </xf>
    <xf numFmtId="1" fontId="196" fillId="70" borderId="243" xfId="119" applyNumberFormat="1" applyFont="1" applyFill="1" applyBorder="1" applyAlignment="1" applyProtection="1">
      <alignment horizontal="right" indent="1"/>
      <protection locked="0"/>
    </xf>
    <xf numFmtId="1" fontId="196" fillId="70" borderId="244" xfId="119" applyNumberFormat="1" applyFont="1" applyFill="1" applyBorder="1" applyAlignment="1" applyProtection="1">
      <alignment horizontal="right" indent="1"/>
      <protection locked="0"/>
    </xf>
    <xf numFmtId="1" fontId="196" fillId="70" borderId="245" xfId="119" applyNumberFormat="1" applyFont="1" applyFill="1" applyBorder="1" applyAlignment="1" applyProtection="1">
      <alignment horizontal="right" indent="1"/>
      <protection locked="0"/>
    </xf>
    <xf numFmtId="1" fontId="197" fillId="76" borderId="248" xfId="119" applyNumberFormat="1" applyFont="1" applyFill="1" applyBorder="1" applyAlignment="1" applyProtection="1">
      <alignment horizontal="right" indent="1"/>
      <protection locked="0"/>
    </xf>
    <xf numFmtId="1" fontId="196" fillId="70" borderId="203" xfId="119" applyNumberFormat="1" applyFont="1" applyFill="1" applyBorder="1" applyAlignment="1" applyProtection="1">
      <alignment horizontal="right" indent="1"/>
      <protection locked="0"/>
    </xf>
    <xf numFmtId="1" fontId="196" fillId="70" borderId="4" xfId="119" applyNumberFormat="1" applyFont="1" applyFill="1" applyBorder="1" applyAlignment="1" applyProtection="1">
      <alignment horizontal="right" indent="1"/>
      <protection locked="0"/>
    </xf>
    <xf numFmtId="1" fontId="196" fillId="70" borderId="249" xfId="119" applyNumberFormat="1" applyFont="1" applyFill="1" applyBorder="1" applyAlignment="1" applyProtection="1">
      <alignment horizontal="right" indent="1"/>
      <protection locked="0"/>
    </xf>
    <xf numFmtId="1" fontId="197" fillId="76" borderId="251" xfId="119" applyNumberFormat="1" applyFont="1" applyFill="1" applyBorder="1" applyAlignment="1" applyProtection="1">
      <alignment horizontal="right" indent="1"/>
      <protection locked="0"/>
    </xf>
    <xf numFmtId="1" fontId="196" fillId="70" borderId="254" xfId="119" applyNumberFormat="1" applyFont="1" applyFill="1" applyBorder="1" applyAlignment="1" applyProtection="1">
      <alignment horizontal="right" indent="1"/>
      <protection locked="0"/>
    </xf>
    <xf numFmtId="1" fontId="196" fillId="70" borderId="255" xfId="119" applyNumberFormat="1" applyFont="1" applyFill="1" applyBorder="1" applyAlignment="1" applyProtection="1">
      <alignment horizontal="right" indent="1"/>
      <protection locked="0"/>
    </xf>
    <xf numFmtId="1" fontId="196" fillId="70" borderId="256" xfId="119" applyNumberFormat="1" applyFont="1" applyFill="1" applyBorder="1" applyAlignment="1" applyProtection="1">
      <alignment horizontal="right" indent="1"/>
      <protection locked="0"/>
    </xf>
    <xf numFmtId="1" fontId="197" fillId="76" borderId="257" xfId="119" applyNumberFormat="1" applyFont="1" applyFill="1" applyBorder="1" applyAlignment="1" applyProtection="1">
      <alignment horizontal="right" indent="1"/>
      <protection locked="0"/>
    </xf>
    <xf numFmtId="166" fontId="196" fillId="70" borderId="254" xfId="119" applyNumberFormat="1" applyFont="1" applyFill="1" applyBorder="1" applyAlignment="1" applyProtection="1">
      <alignment horizontal="left" indent="1"/>
      <protection locked="0"/>
    </xf>
    <xf numFmtId="166" fontId="196" fillId="70" borderId="255" xfId="119" applyNumberFormat="1" applyFont="1" applyFill="1" applyBorder="1" applyAlignment="1" applyProtection="1">
      <alignment horizontal="right" indent="1"/>
      <protection locked="0"/>
    </xf>
    <xf numFmtId="9" fontId="190" fillId="70" borderId="259" xfId="119" applyNumberFormat="1" applyFill="1" applyBorder="1" applyAlignment="1" applyProtection="1">
      <alignment horizontal="center"/>
      <protection locked="0"/>
    </xf>
    <xf numFmtId="1" fontId="190" fillId="76" borderId="257" xfId="119" applyNumberFormat="1" applyFont="1" applyFill="1" applyBorder="1" applyAlignment="1" applyProtection="1">
      <alignment horizontal="right" indent="1"/>
      <protection locked="0"/>
    </xf>
    <xf numFmtId="0" fontId="190" fillId="75" borderId="0" xfId="119" applyFont="1" applyFill="1" applyBorder="1" applyAlignment="1" applyProtection="1">
      <alignment horizontal="left" vertical="top"/>
      <protection locked="0"/>
    </xf>
    <xf numFmtId="0" fontId="190" fillId="76" borderId="100" xfId="119" applyFill="1" applyBorder="1" applyAlignment="1" applyProtection="1">
      <alignment horizontal="right" indent="1"/>
      <protection locked="0"/>
    </xf>
    <xf numFmtId="0" fontId="190" fillId="75" borderId="77" xfId="119" applyFill="1" applyBorder="1" applyProtection="1">
      <protection locked="0"/>
    </xf>
    <xf numFmtId="0" fontId="190" fillId="75" borderId="78" xfId="119" applyFill="1" applyBorder="1" applyProtection="1">
      <protection locked="0"/>
    </xf>
    <xf numFmtId="0" fontId="190" fillId="75" borderId="79" xfId="119" applyFill="1" applyBorder="1" applyProtection="1">
      <protection locked="0"/>
    </xf>
    <xf numFmtId="0" fontId="195" fillId="75" borderId="0" xfId="119" applyFont="1" applyFill="1" applyBorder="1" applyProtection="1">
      <protection locked="0"/>
    </xf>
    <xf numFmtId="0" fontId="190" fillId="75" borderId="0" xfId="119" applyFill="1" applyBorder="1" applyAlignment="1" applyProtection="1">
      <alignment horizontal="right"/>
      <protection locked="0"/>
    </xf>
    <xf numFmtId="0" fontId="190" fillId="75" borderId="19" xfId="119" applyFill="1" applyBorder="1" applyAlignment="1" applyProtection="1">
      <alignment horizontal="center"/>
      <protection locked="0"/>
    </xf>
    <xf numFmtId="166" fontId="190" fillId="76" borderId="100" xfId="119" applyNumberFormat="1" applyFill="1" applyBorder="1" applyAlignment="1" applyProtection="1">
      <alignment horizontal="right" indent="1"/>
      <protection locked="0"/>
    </xf>
    <xf numFmtId="0" fontId="190" fillId="75" borderId="0" xfId="119" quotePrefix="1" applyFill="1" applyBorder="1" applyProtection="1">
      <protection locked="0"/>
    </xf>
    <xf numFmtId="0" fontId="74" fillId="0" borderId="97" xfId="0" applyFont="1" applyFill="1" applyBorder="1" applyAlignment="1">
      <alignment horizontal="left"/>
    </xf>
    <xf numFmtId="0" fontId="190" fillId="70" borderId="0" xfId="118" applyFill="1" applyProtection="1">
      <protection locked="0"/>
    </xf>
    <xf numFmtId="0" fontId="190" fillId="70" borderId="0" xfId="118" applyFill="1" applyBorder="1" applyProtection="1">
      <protection locked="0"/>
    </xf>
    <xf numFmtId="0" fontId="199" fillId="23" borderId="58" xfId="0" applyFont="1" applyFill="1" applyBorder="1" applyProtection="1">
      <protection locked="0"/>
    </xf>
    <xf numFmtId="0" fontId="199" fillId="23" borderId="58" xfId="0" applyFont="1" applyFill="1" applyBorder="1" applyAlignment="1" applyProtection="1">
      <alignment horizontal="left"/>
      <protection locked="0"/>
    </xf>
    <xf numFmtId="168" fontId="199" fillId="23" borderId="35" xfId="0" applyNumberFormat="1" applyFont="1" applyFill="1" applyBorder="1" applyAlignment="1" applyProtection="1">
      <alignment horizontal="left"/>
      <protection locked="0"/>
    </xf>
    <xf numFmtId="0" fontId="199" fillId="23" borderId="29" xfId="0" applyFont="1" applyFill="1" applyBorder="1" applyProtection="1">
      <protection locked="0"/>
    </xf>
    <xf numFmtId="2" fontId="8" fillId="70" borderId="185" xfId="0" applyNumberFormat="1" applyFont="1" applyFill="1" applyBorder="1" applyAlignment="1">
      <alignment horizontal="center"/>
    </xf>
    <xf numFmtId="2" fontId="8" fillId="70" borderId="177" xfId="0" applyNumberFormat="1" applyFont="1" applyFill="1" applyBorder="1"/>
    <xf numFmtId="2" fontId="8" fillId="70" borderId="100" xfId="0" applyNumberFormat="1" applyFont="1" applyFill="1" applyBorder="1"/>
    <xf numFmtId="2" fontId="8" fillId="70" borderId="185" xfId="0" applyNumberFormat="1" applyFont="1" applyFill="1" applyBorder="1"/>
    <xf numFmtId="2" fontId="8" fillId="70" borderId="63" xfId="0" applyNumberFormat="1" applyFont="1" applyFill="1" applyBorder="1"/>
    <xf numFmtId="2" fontId="200" fillId="24" borderId="13" xfId="0" applyNumberFormat="1" applyFont="1" applyFill="1" applyBorder="1" applyAlignment="1" applyProtection="1">
      <alignment horizontal="left"/>
      <protection locked="0"/>
    </xf>
    <xf numFmtId="0" fontId="155" fillId="24" borderId="0" xfId="104" applyFont="1" applyFill="1" applyBorder="1" applyAlignment="1">
      <alignment horizontal="left" vertical="center"/>
    </xf>
    <xf numFmtId="0" fontId="155" fillId="24" borderId="0" xfId="104" applyFont="1" applyFill="1" applyBorder="1" applyAlignment="1">
      <alignment horizontal="right" vertical="center"/>
    </xf>
    <xf numFmtId="0" fontId="155" fillId="24" borderId="0" xfId="104" applyFont="1" applyFill="1" applyBorder="1" applyAlignment="1">
      <alignment horizontal="center" vertical="center"/>
    </xf>
    <xf numFmtId="0" fontId="155" fillId="24" borderId="19" xfId="104" applyFont="1" applyFill="1" applyBorder="1" applyAlignment="1">
      <alignment horizontal="left" vertical="center"/>
    </xf>
    <xf numFmtId="0" fontId="199" fillId="62" borderId="58" xfId="0" applyFont="1" applyFill="1" applyBorder="1" applyAlignment="1" applyProtection="1">
      <alignment horizontal="left"/>
      <protection locked="0"/>
    </xf>
    <xf numFmtId="0" fontId="39" fillId="62" borderId="106" xfId="0" applyFont="1" applyFill="1" applyBorder="1" applyAlignment="1" applyProtection="1">
      <alignment horizontal="left"/>
      <protection locked="0"/>
    </xf>
    <xf numFmtId="166" fontId="39" fillId="62" borderId="123" xfId="0" applyNumberFormat="1" applyFont="1" applyFill="1" applyBorder="1" applyAlignment="1" applyProtection="1">
      <alignment horizontal="center"/>
      <protection locked="0"/>
    </xf>
    <xf numFmtId="170" fontId="39" fillId="62" borderId="89" xfId="0" applyNumberFormat="1" applyFont="1" applyFill="1" applyBorder="1" applyAlignment="1" applyProtection="1">
      <alignment horizontal="center"/>
      <protection locked="0"/>
    </xf>
    <xf numFmtId="0" fontId="39" fillId="64" borderId="58" xfId="0" applyFont="1" applyFill="1" applyBorder="1" applyAlignment="1">
      <alignment horizontal="center"/>
    </xf>
    <xf numFmtId="166" fontId="186" fillId="24" borderId="9" xfId="0" applyNumberFormat="1" applyFont="1" applyFill="1" applyBorder="1"/>
    <xf numFmtId="0" fontId="186" fillId="24" borderId="9" xfId="0" applyFont="1" applyFill="1" applyBorder="1" applyAlignment="1">
      <alignment vertical="top"/>
    </xf>
    <xf numFmtId="166" fontId="186" fillId="24" borderId="9" xfId="0" applyNumberFormat="1" applyFont="1" applyFill="1" applyBorder="1" applyAlignment="1">
      <alignment horizontal="right" vertical="top"/>
    </xf>
    <xf numFmtId="2" fontId="90" fillId="23" borderId="122" xfId="104" applyNumberFormat="1" applyFont="1" applyFill="1" applyBorder="1" applyAlignment="1">
      <alignment horizontal="center" vertical="center"/>
    </xf>
    <xf numFmtId="0" fontId="161" fillId="70" borderId="19" xfId="104" applyFont="1" applyFill="1" applyBorder="1" applyAlignment="1">
      <alignment horizontal="justify" wrapText="1"/>
    </xf>
    <xf numFmtId="0" fontId="161" fillId="70" borderId="0" xfId="104" applyFont="1" applyFill="1" applyBorder="1" applyAlignment="1">
      <alignment horizontal="justify" wrapText="1"/>
    </xf>
    <xf numFmtId="0" fontId="161" fillId="70" borderId="29" xfId="104" applyFont="1" applyFill="1" applyBorder="1" applyAlignment="1">
      <alignment horizontal="justify" wrapText="1"/>
    </xf>
    <xf numFmtId="0" fontId="162" fillId="70" borderId="19" xfId="104" applyFont="1" applyFill="1" applyBorder="1" applyAlignment="1">
      <alignment horizontal="justify" wrapText="1"/>
    </xf>
    <xf numFmtId="0" fontId="162" fillId="70" borderId="0" xfId="104" applyFont="1" applyFill="1" applyBorder="1" applyAlignment="1">
      <alignment horizontal="justify" wrapText="1"/>
    </xf>
    <xf numFmtId="0" fontId="162" fillId="70" borderId="29" xfId="104" applyFont="1" applyFill="1" applyBorder="1" applyAlignment="1">
      <alignment horizontal="justify" wrapText="1"/>
    </xf>
    <xf numFmtId="0" fontId="163" fillId="70" borderId="19" xfId="104" applyFont="1" applyFill="1" applyBorder="1" applyAlignment="1">
      <alignment horizontal="justify" wrapText="1"/>
    </xf>
    <xf numFmtId="0" fontId="163" fillId="70" borderId="0" xfId="104" applyFont="1" applyFill="1" applyBorder="1" applyAlignment="1">
      <alignment horizontal="justify" wrapText="1"/>
    </xf>
    <xf numFmtId="0" fontId="163" fillId="70" borderId="29" xfId="104" applyFont="1" applyFill="1" applyBorder="1" applyAlignment="1">
      <alignment horizontal="justify" wrapText="1"/>
    </xf>
    <xf numFmtId="0" fontId="165" fillId="70" borderId="19" xfId="104" applyFont="1" applyFill="1" applyBorder="1" applyAlignment="1">
      <alignment horizontal="justify" wrapText="1"/>
    </xf>
    <xf numFmtId="0" fontId="165" fillId="70" borderId="0" xfId="104" applyFont="1" applyFill="1" applyBorder="1" applyAlignment="1">
      <alignment horizontal="justify" wrapText="1"/>
    </xf>
    <xf numFmtId="0" fontId="165" fillId="70" borderId="29" xfId="104" applyFont="1" applyFill="1" applyBorder="1" applyAlignment="1">
      <alignment horizontal="justify" wrapText="1"/>
    </xf>
    <xf numFmtId="0" fontId="162" fillId="70" borderId="19" xfId="104" applyFont="1" applyFill="1" applyBorder="1" applyAlignment="1">
      <alignment horizontal="left" wrapText="1"/>
    </xf>
    <xf numFmtId="0" fontId="162" fillId="70" borderId="0" xfId="104" applyFont="1" applyFill="1" applyBorder="1" applyAlignment="1">
      <alignment horizontal="left" wrapText="1"/>
    </xf>
    <xf numFmtId="0" fontId="162" fillId="70" borderId="29" xfId="104" applyFont="1" applyFill="1" applyBorder="1" applyAlignment="1">
      <alignment horizontal="left" wrapText="1"/>
    </xf>
    <xf numFmtId="0" fontId="11" fillId="70" borderId="19" xfId="66" applyFill="1" applyBorder="1" applyAlignment="1" applyProtection="1">
      <alignment horizontal="left" wrapText="1"/>
    </xf>
    <xf numFmtId="0" fontId="160" fillId="0" borderId="17" xfId="104" applyFont="1" applyBorder="1" applyAlignment="1">
      <alignment horizontal="center" wrapText="1"/>
    </xf>
    <xf numFmtId="0" fontId="160" fillId="0" borderId="18" xfId="104" applyFont="1" applyBorder="1" applyAlignment="1">
      <alignment horizontal="center" wrapText="1"/>
    </xf>
    <xf numFmtId="0" fontId="160" fillId="0" borderId="36" xfId="104" applyFont="1" applyBorder="1" applyAlignment="1">
      <alignment horizontal="center" wrapText="1"/>
    </xf>
    <xf numFmtId="0" fontId="31" fillId="72" borderId="80" xfId="104" applyFont="1" applyFill="1" applyBorder="1" applyAlignment="1">
      <alignment horizontal="left" vertical="center" wrapText="1"/>
    </xf>
    <xf numFmtId="0" fontId="0" fillId="0" borderId="162" xfId="0" applyBorder="1"/>
    <xf numFmtId="0" fontId="0" fillId="0" borderId="55" xfId="0" applyBorder="1"/>
    <xf numFmtId="0" fontId="163" fillId="70" borderId="19" xfId="104" applyFont="1" applyFill="1" applyBorder="1" applyAlignment="1">
      <alignment horizontal="left" wrapText="1"/>
    </xf>
    <xf numFmtId="0" fontId="163" fillId="70" borderId="0" xfId="104" applyFont="1" applyFill="1" applyBorder="1" applyAlignment="1">
      <alignment horizontal="left" wrapText="1"/>
    </xf>
    <xf numFmtId="0" fontId="163" fillId="70" borderId="29" xfId="104" applyFont="1" applyFill="1" applyBorder="1" applyAlignment="1">
      <alignment horizontal="left" wrapText="1"/>
    </xf>
    <xf numFmtId="0" fontId="167" fillId="70" borderId="0" xfId="104" applyFont="1" applyFill="1" applyBorder="1" applyAlignment="1">
      <alignment horizontal="left" wrapText="1"/>
    </xf>
    <xf numFmtId="0" fontId="167" fillId="70" borderId="29" xfId="104" applyFont="1" applyFill="1" applyBorder="1" applyAlignment="1">
      <alignment horizontal="left" wrapText="1"/>
    </xf>
    <xf numFmtId="0" fontId="162" fillId="70" borderId="207" xfId="104" applyFont="1" applyFill="1" applyBorder="1" applyAlignment="1">
      <alignment horizontal="left" vertical="center" wrapText="1"/>
    </xf>
    <xf numFmtId="0" fontId="162" fillId="70" borderId="23" xfId="104" applyFont="1" applyFill="1" applyBorder="1" applyAlignment="1">
      <alignment horizontal="left" vertical="center" wrapText="1"/>
    </xf>
    <xf numFmtId="0" fontId="162" fillId="70" borderId="24" xfId="104" applyFont="1" applyFill="1" applyBorder="1" applyAlignment="1">
      <alignment horizontal="left" vertical="center" wrapText="1"/>
    </xf>
    <xf numFmtId="0" fontId="29" fillId="28" borderId="25" xfId="0" applyFont="1" applyFill="1" applyBorder="1" applyAlignment="1">
      <alignment horizontal="left" wrapText="1"/>
    </xf>
    <xf numFmtId="0" fontId="29" fillId="28" borderId="23" xfId="0" applyFont="1" applyFill="1" applyBorder="1" applyAlignment="1">
      <alignment horizontal="left" wrapText="1"/>
    </xf>
    <xf numFmtId="0" fontId="50" fillId="25" borderId="0" xfId="0" applyFont="1" applyFill="1" applyAlignment="1">
      <alignment vertical="center" wrapText="1"/>
    </xf>
    <xf numFmtId="0" fontId="0" fillId="25" borderId="0" xfId="0" applyFill="1" applyAlignment="1">
      <alignment vertical="center" wrapText="1"/>
    </xf>
    <xf numFmtId="0" fontId="8" fillId="25" borderId="0" xfId="0" applyFont="1" applyFill="1" applyAlignment="1">
      <alignment horizontal="left" vertical="center" wrapText="1"/>
    </xf>
    <xf numFmtId="0" fontId="0" fillId="25" borderId="0" xfId="0" applyFill="1" applyAlignment="1">
      <alignment horizontal="left" vertical="center" wrapText="1"/>
    </xf>
    <xf numFmtId="0" fontId="0" fillId="0" borderId="0" xfId="0" applyAlignment="1">
      <alignment vertical="center" wrapText="1"/>
    </xf>
    <xf numFmtId="0" fontId="0" fillId="25" borderId="0" xfId="0" applyFill="1" applyAlignment="1">
      <alignment horizontal="left" vertical="center" wrapText="1" indent="2"/>
    </xf>
    <xf numFmtId="0" fontId="0" fillId="25" borderId="0" xfId="0" quotePrefix="1" applyFill="1" applyAlignment="1">
      <alignment horizontal="left" vertical="center" wrapText="1"/>
    </xf>
    <xf numFmtId="0" fontId="50" fillId="25" borderId="0" xfId="0" applyFont="1" applyFill="1" applyAlignment="1">
      <alignment horizontal="left" vertical="center" wrapText="1"/>
    </xf>
    <xf numFmtId="0" fontId="11" fillId="25" borderId="0" xfId="66" applyFill="1" applyAlignment="1" applyProtection="1">
      <alignment horizontal="left" vertical="center" wrapText="1" indent="2"/>
    </xf>
    <xf numFmtId="0" fontId="0" fillId="0" borderId="0" xfId="0" applyAlignment="1">
      <alignment horizontal="left" vertical="center" wrapText="1" indent="2"/>
    </xf>
    <xf numFmtId="0" fontId="0" fillId="25" borderId="0" xfId="0" applyFill="1" applyAlignment="1">
      <alignment horizontal="left" vertical="center" wrapText="1" indent="1"/>
    </xf>
    <xf numFmtId="0" fontId="55" fillId="25" borderId="0" xfId="0" applyFont="1" applyFill="1" applyAlignment="1">
      <alignment horizontal="left" vertical="center" wrapText="1"/>
    </xf>
    <xf numFmtId="0" fontId="11" fillId="25" borderId="0" xfId="66" applyFill="1" applyAlignment="1" applyProtection="1">
      <alignment horizontal="left" vertical="center" wrapText="1"/>
    </xf>
    <xf numFmtId="0" fontId="74" fillId="0" borderId="100" xfId="0" applyFont="1" applyBorder="1" applyAlignment="1">
      <alignment horizontal="left"/>
    </xf>
    <xf numFmtId="0" fontId="74" fillId="0" borderId="176" xfId="0" applyFont="1" applyBorder="1" applyAlignment="1">
      <alignment horizontal="left"/>
    </xf>
    <xf numFmtId="0" fontId="74" fillId="0" borderId="178" xfId="0" applyFont="1" applyBorder="1" applyAlignment="1">
      <alignment horizontal="left" wrapText="1"/>
    </xf>
    <xf numFmtId="0" fontId="74" fillId="0" borderId="179" xfId="0" applyFont="1" applyBorder="1" applyAlignment="1">
      <alignment horizontal="left" wrapText="1"/>
    </xf>
    <xf numFmtId="0" fontId="74" fillId="0" borderId="100" xfId="108" applyFont="1" applyFill="1" applyBorder="1" applyAlignment="1">
      <alignment horizontal="left" vertical="center"/>
    </xf>
    <xf numFmtId="0" fontId="74" fillId="0" borderId="176" xfId="108" applyFont="1" applyFill="1" applyBorder="1" applyAlignment="1">
      <alignment horizontal="left" vertical="center"/>
    </xf>
    <xf numFmtId="0" fontId="0" fillId="0" borderId="186" xfId="0" applyBorder="1" applyAlignment="1">
      <alignment horizontal="center"/>
    </xf>
    <xf numFmtId="0" fontId="0" fillId="0" borderId="188" xfId="0" applyBorder="1" applyAlignment="1">
      <alignment horizontal="center"/>
    </xf>
    <xf numFmtId="0" fontId="0" fillId="0" borderId="195" xfId="0" applyBorder="1" applyAlignment="1">
      <alignment horizontal="center"/>
    </xf>
    <xf numFmtId="0" fontId="182" fillId="72" borderId="175" xfId="0" applyFont="1" applyFill="1" applyBorder="1" applyAlignment="1">
      <alignment horizontal="left"/>
    </xf>
    <xf numFmtId="0" fontId="183" fillId="72" borderId="100" xfId="0" applyFont="1" applyFill="1" applyBorder="1" applyAlignment="1">
      <alignment horizontal="left"/>
    </xf>
    <xf numFmtId="0" fontId="183" fillId="72" borderId="176" xfId="0" applyFont="1" applyFill="1" applyBorder="1" applyAlignment="1">
      <alignment horizontal="left"/>
    </xf>
    <xf numFmtId="0" fontId="0" fillId="0" borderId="100" xfId="0" applyBorder="1" applyAlignment="1">
      <alignment horizontal="left"/>
    </xf>
    <xf numFmtId="0" fontId="0" fillId="0" borderId="176" xfId="0" applyBorder="1" applyAlignment="1">
      <alignment horizontal="left"/>
    </xf>
    <xf numFmtId="0" fontId="74" fillId="0" borderId="178" xfId="0" applyFont="1" applyFill="1" applyBorder="1" applyAlignment="1">
      <alignment horizontal="left"/>
    </xf>
    <xf numFmtId="0" fontId="74" fillId="0" borderId="179" xfId="0" applyFont="1" applyFill="1" applyBorder="1" applyAlignment="1">
      <alignment horizontal="left"/>
    </xf>
    <xf numFmtId="0" fontId="74" fillId="0" borderId="100" xfId="0" applyFont="1" applyFill="1" applyBorder="1" applyAlignment="1">
      <alignment horizontal="left"/>
    </xf>
    <xf numFmtId="0" fontId="74" fillId="0" borderId="176" xfId="0" applyFont="1" applyFill="1" applyBorder="1" applyAlignment="1">
      <alignment horizontal="left"/>
    </xf>
    <xf numFmtId="0" fontId="31" fillId="28" borderId="19" xfId="0" applyFont="1" applyFill="1" applyBorder="1" applyAlignment="1">
      <alignment horizontal="left" vertical="center"/>
    </xf>
    <xf numFmtId="0" fontId="31" fillId="28" borderId="0" xfId="0" applyFont="1" applyFill="1" applyBorder="1" applyAlignment="1">
      <alignment horizontal="left" vertical="center"/>
    </xf>
    <xf numFmtId="0" fontId="31" fillId="28" borderId="29" xfId="0" applyFont="1" applyFill="1" applyBorder="1" applyAlignment="1">
      <alignment horizontal="left" vertical="center"/>
    </xf>
    <xf numFmtId="0" fontId="162" fillId="24" borderId="0" xfId="104" applyFont="1" applyFill="1" applyBorder="1" applyAlignment="1">
      <alignment horizontal="right" vertical="center"/>
    </xf>
    <xf numFmtId="0" fontId="162" fillId="24" borderId="208" xfId="104" applyFont="1" applyFill="1" applyBorder="1" applyAlignment="1">
      <alignment horizontal="right" vertical="center"/>
    </xf>
    <xf numFmtId="0" fontId="3" fillId="24" borderId="156" xfId="104" applyFill="1" applyBorder="1" applyAlignment="1">
      <alignment horizontal="center" vertical="center"/>
    </xf>
    <xf numFmtId="0" fontId="3" fillId="24" borderId="157" xfId="104" applyFill="1" applyBorder="1" applyAlignment="1">
      <alignment horizontal="center" vertical="center"/>
    </xf>
    <xf numFmtId="0" fontId="3" fillId="24" borderId="158" xfId="104" applyFill="1" applyBorder="1" applyAlignment="1">
      <alignment horizontal="center" vertical="center"/>
    </xf>
    <xf numFmtId="0" fontId="162" fillId="24" borderId="138" xfId="104" applyFont="1" applyFill="1" applyBorder="1" applyAlignment="1">
      <alignment vertical="center" wrapText="1"/>
    </xf>
    <xf numFmtId="0" fontId="162" fillId="24" borderId="139" xfId="104" applyFont="1" applyFill="1" applyBorder="1" applyAlignment="1">
      <alignment vertical="center" wrapText="1"/>
    </xf>
    <xf numFmtId="0" fontId="162" fillId="24" borderId="140" xfId="104" applyFont="1" applyFill="1" applyBorder="1" applyAlignment="1">
      <alignment vertical="center" wrapText="1"/>
    </xf>
    <xf numFmtId="0" fontId="8" fillId="73" borderId="141" xfId="104" applyFont="1" applyFill="1" applyBorder="1" applyAlignment="1">
      <alignment horizontal="left" vertical="center"/>
    </xf>
    <xf numFmtId="0" fontId="8" fillId="73" borderId="105" xfId="104" applyFont="1" applyFill="1" applyBorder="1" applyAlignment="1">
      <alignment horizontal="left" vertical="center"/>
    </xf>
    <xf numFmtId="0" fontId="8" fillId="73" borderId="211" xfId="104" applyFont="1" applyFill="1" applyBorder="1" applyAlignment="1">
      <alignment horizontal="left" vertical="center"/>
    </xf>
    <xf numFmtId="0" fontId="186" fillId="24" borderId="144" xfId="104" applyFont="1" applyFill="1" applyBorder="1" applyAlignment="1">
      <alignment horizontal="left" vertical="center"/>
    </xf>
    <xf numFmtId="0" fontId="155" fillId="24" borderId="144" xfId="104" applyFont="1" applyFill="1" applyBorder="1" applyAlignment="1">
      <alignment horizontal="left" vertical="center"/>
    </xf>
    <xf numFmtId="0" fontId="155" fillId="24" borderId="210" xfId="104" applyFont="1" applyFill="1" applyBorder="1" applyAlignment="1">
      <alignment horizontal="left" vertical="center"/>
    </xf>
    <xf numFmtId="0" fontId="169" fillId="24" borderId="17" xfId="104" applyFont="1" applyFill="1" applyBorder="1" applyAlignment="1">
      <alignment horizontal="right" vertical="center"/>
    </xf>
    <xf numFmtId="0" fontId="169" fillId="24" borderId="18" xfId="104" applyFont="1" applyFill="1" applyBorder="1" applyAlignment="1">
      <alignment horizontal="right" vertical="center"/>
    </xf>
    <xf numFmtId="0" fontId="169" fillId="24" borderId="36" xfId="104" applyFont="1" applyFill="1" applyBorder="1" applyAlignment="1">
      <alignment horizontal="right" vertical="center"/>
    </xf>
    <xf numFmtId="0" fontId="8" fillId="24" borderId="0" xfId="104" applyFont="1" applyFill="1" applyBorder="1" applyAlignment="1">
      <alignment horizontal="center" vertical="center"/>
    </xf>
    <xf numFmtId="0" fontId="162" fillId="24" borderId="0" xfId="104" applyFont="1" applyFill="1" applyBorder="1" applyAlignment="1">
      <alignment horizontal="left" vertical="center"/>
    </xf>
    <xf numFmtId="0" fontId="162" fillId="24" borderId="29" xfId="104" applyFont="1" applyFill="1" applyBorder="1" applyAlignment="1">
      <alignment horizontal="left" vertical="center"/>
    </xf>
    <xf numFmtId="0" fontId="165" fillId="24" borderId="0" xfId="104" applyFont="1" applyFill="1" applyBorder="1" applyAlignment="1">
      <alignment horizontal="left" vertical="center"/>
    </xf>
    <xf numFmtId="0" fontId="77" fillId="24" borderId="0" xfId="104" applyFont="1" applyFill="1" applyBorder="1" applyAlignment="1">
      <alignment horizontal="left" vertical="center"/>
    </xf>
    <xf numFmtId="0" fontId="77" fillId="24" borderId="208" xfId="104" applyFont="1" applyFill="1" applyBorder="1" applyAlignment="1">
      <alignment horizontal="left" vertical="center"/>
    </xf>
    <xf numFmtId="0" fontId="155" fillId="24" borderId="138" xfId="104" applyFont="1" applyFill="1" applyBorder="1" applyAlignment="1">
      <alignment vertical="center" wrapText="1"/>
    </xf>
    <xf numFmtId="0" fontId="162" fillId="24" borderId="80" xfId="104" applyFont="1" applyFill="1" applyBorder="1" applyAlignment="1">
      <alignment horizontal="center" vertical="center"/>
    </xf>
    <xf numFmtId="0" fontId="162" fillId="24" borderId="162" xfId="104" applyFont="1" applyFill="1" applyBorder="1" applyAlignment="1">
      <alignment horizontal="center" vertical="center"/>
    </xf>
    <xf numFmtId="0" fontId="162" fillId="24" borderId="55" xfId="104" applyFont="1" applyFill="1" applyBorder="1" applyAlignment="1">
      <alignment horizontal="center" vertical="center"/>
    </xf>
    <xf numFmtId="0" fontId="186" fillId="24" borderId="209" xfId="104" applyFont="1" applyFill="1" applyBorder="1" applyAlignment="1">
      <alignment horizontal="left" vertical="center"/>
    </xf>
    <xf numFmtId="0" fontId="155" fillId="24" borderId="0" xfId="104" applyFont="1" applyFill="1" applyBorder="1" applyAlignment="1">
      <alignment horizontal="left" vertical="center"/>
    </xf>
    <xf numFmtId="0" fontId="155" fillId="24" borderId="29" xfId="104" applyFont="1" applyFill="1" applyBorder="1" applyAlignment="1">
      <alignment horizontal="left" vertical="center"/>
    </xf>
    <xf numFmtId="0" fontId="8" fillId="74" borderId="80" xfId="104" applyFont="1" applyFill="1" applyBorder="1" applyAlignment="1">
      <alignment horizontal="left" vertical="center"/>
    </xf>
    <xf numFmtId="0" fontId="8" fillId="74" borderId="162" xfId="104" applyFont="1" applyFill="1" applyBorder="1" applyAlignment="1">
      <alignment horizontal="left" vertical="center"/>
    </xf>
    <xf numFmtId="0" fontId="8" fillId="74" borderId="55" xfId="104" applyFont="1" applyFill="1" applyBorder="1" applyAlignment="1">
      <alignment horizontal="left" vertical="center"/>
    </xf>
    <xf numFmtId="0" fontId="155" fillId="24" borderId="0" xfId="104" applyFont="1" applyFill="1" applyBorder="1" applyAlignment="1">
      <alignment horizontal="right" vertical="center"/>
    </xf>
    <xf numFmtId="0" fontId="162" fillId="24" borderId="141" xfId="104" applyFont="1" applyFill="1" applyBorder="1" applyAlignment="1">
      <alignment horizontal="center" vertical="center"/>
    </xf>
    <xf numFmtId="0" fontId="162" fillId="24" borderId="105" xfId="104" applyFont="1" applyFill="1" applyBorder="1" applyAlignment="1">
      <alignment horizontal="center" vertical="center"/>
    </xf>
    <xf numFmtId="0" fontId="162" fillId="24" borderId="142" xfId="104" applyFont="1" applyFill="1" applyBorder="1" applyAlignment="1">
      <alignment horizontal="center" vertical="center"/>
    </xf>
    <xf numFmtId="0" fontId="186" fillId="24" borderId="0" xfId="104" applyFont="1" applyFill="1" applyBorder="1" applyAlignment="1">
      <alignment horizontal="left" vertical="center"/>
    </xf>
    <xf numFmtId="0" fontId="8" fillId="24" borderId="0" xfId="104" applyFont="1" applyFill="1" applyBorder="1" applyAlignment="1">
      <alignment horizontal="left" vertical="center"/>
    </xf>
    <xf numFmtId="0" fontId="8" fillId="24" borderId="29" xfId="104" applyFont="1" applyFill="1" applyBorder="1" applyAlignment="1">
      <alignment horizontal="left" vertical="center"/>
    </xf>
    <xf numFmtId="0" fontId="8" fillId="73" borderId="80" xfId="104" applyFont="1" applyFill="1" applyBorder="1" applyAlignment="1">
      <alignment horizontal="left" vertical="center"/>
    </xf>
    <xf numFmtId="0" fontId="8" fillId="73" borderId="162" xfId="104" applyFont="1" applyFill="1" applyBorder="1" applyAlignment="1">
      <alignment horizontal="left" vertical="center"/>
    </xf>
    <xf numFmtId="0" fontId="8" fillId="73" borderId="55" xfId="104" applyFont="1" applyFill="1" applyBorder="1" applyAlignment="1">
      <alignment horizontal="left" vertical="center"/>
    </xf>
    <xf numFmtId="0" fontId="162" fillId="24" borderId="102" xfId="104" applyFont="1" applyFill="1" applyBorder="1" applyAlignment="1">
      <alignment horizontal="center" vertical="center"/>
    </xf>
    <xf numFmtId="0" fontId="162" fillId="24" borderId="103" xfId="104" applyFont="1" applyFill="1" applyBorder="1" applyAlignment="1">
      <alignment horizontal="center" vertical="center"/>
    </xf>
    <xf numFmtId="0" fontId="162" fillId="24" borderId="104" xfId="104" applyFont="1" applyFill="1" applyBorder="1" applyAlignment="1">
      <alignment horizontal="center" vertical="center"/>
    </xf>
    <xf numFmtId="0" fontId="162" fillId="24" borderId="143" xfId="104" applyFont="1" applyFill="1" applyBorder="1" applyAlignment="1">
      <alignment horizontal="center" vertical="center" wrapText="1"/>
    </xf>
    <xf numFmtId="0" fontId="162" fillId="24" borderId="144" xfId="104" applyFont="1" applyFill="1" applyBorder="1" applyAlignment="1">
      <alignment horizontal="center" vertical="center" wrapText="1"/>
    </xf>
    <xf numFmtId="0" fontId="162" fillId="24" borderId="145" xfId="104" applyFont="1" applyFill="1" applyBorder="1" applyAlignment="1">
      <alignment horizontal="center" vertical="center" wrapText="1"/>
    </xf>
    <xf numFmtId="0" fontId="162" fillId="24" borderId="146" xfId="104" applyFont="1" applyFill="1" applyBorder="1" applyAlignment="1">
      <alignment horizontal="center" vertical="center"/>
    </xf>
    <xf numFmtId="0" fontId="162" fillId="24" borderId="0" xfId="104" applyFont="1" applyFill="1" applyBorder="1" applyAlignment="1">
      <alignment horizontal="center" vertical="center"/>
    </xf>
    <xf numFmtId="0" fontId="162" fillId="24" borderId="147" xfId="104" applyFont="1" applyFill="1" applyBorder="1" applyAlignment="1">
      <alignment horizontal="center" vertical="center"/>
    </xf>
    <xf numFmtId="0" fontId="8" fillId="27" borderId="80" xfId="104" applyFont="1" applyFill="1" applyBorder="1" applyAlignment="1">
      <alignment horizontal="left" vertical="center"/>
    </xf>
    <xf numFmtId="0" fontId="8" fillId="27" borderId="162" xfId="104" applyFont="1" applyFill="1" applyBorder="1" applyAlignment="1">
      <alignment horizontal="left" vertical="center"/>
    </xf>
    <xf numFmtId="0" fontId="84" fillId="27" borderId="162" xfId="104" applyFont="1" applyFill="1" applyBorder="1" applyAlignment="1">
      <alignment horizontal="center" vertical="center"/>
    </xf>
    <xf numFmtId="0" fontId="84" fillId="27" borderId="55" xfId="104" applyFont="1" applyFill="1" applyBorder="1" applyAlignment="1">
      <alignment horizontal="center" vertical="center"/>
    </xf>
    <xf numFmtId="0" fontId="8" fillId="24" borderId="0" xfId="104" applyNumberFormat="1" applyFont="1" applyFill="1" applyBorder="1" applyAlignment="1">
      <alignment horizontal="left" vertical="center"/>
    </xf>
    <xf numFmtId="0" fontId="8" fillId="24" borderId="29" xfId="104" applyNumberFormat="1" applyFont="1" applyFill="1" applyBorder="1" applyAlignment="1">
      <alignment horizontal="left" vertical="center"/>
    </xf>
    <xf numFmtId="0" fontId="90" fillId="27" borderId="162" xfId="104" applyFont="1" applyFill="1" applyBorder="1" applyAlignment="1">
      <alignment horizontal="center" vertical="center" wrapText="1"/>
    </xf>
    <xf numFmtId="0" fontId="162" fillId="24" borderId="100" xfId="104" applyFont="1" applyFill="1" applyBorder="1" applyAlignment="1">
      <alignment horizontal="left" vertical="center"/>
    </xf>
    <xf numFmtId="0" fontId="162" fillId="24" borderId="176" xfId="104" applyFont="1" applyFill="1" applyBorder="1" applyAlignment="1">
      <alignment horizontal="left" vertical="center"/>
    </xf>
    <xf numFmtId="0" fontId="162" fillId="24" borderId="100" xfId="104" applyFont="1" applyFill="1" applyBorder="1" applyAlignment="1">
      <alignment horizontal="left" vertical="center" wrapText="1"/>
    </xf>
    <xf numFmtId="0" fontId="162" fillId="24" borderId="176" xfId="104" applyFont="1" applyFill="1" applyBorder="1" applyAlignment="1">
      <alignment horizontal="left" vertical="center" wrapText="1"/>
    </xf>
    <xf numFmtId="0" fontId="111" fillId="24" borderId="178" xfId="104" applyFont="1" applyFill="1" applyBorder="1" applyAlignment="1">
      <alignment horizontal="center" vertical="center"/>
    </xf>
    <xf numFmtId="0" fontId="8" fillId="24" borderId="19" xfId="104" applyFont="1" applyFill="1" applyBorder="1" applyAlignment="1">
      <alignment horizontal="left" vertical="center" wrapText="1"/>
    </xf>
    <xf numFmtId="0" fontId="8" fillId="24" borderId="0" xfId="104" applyFont="1" applyFill="1" applyBorder="1" applyAlignment="1">
      <alignment horizontal="left" vertical="center" wrapText="1"/>
    </xf>
    <xf numFmtId="0" fontId="111" fillId="24" borderId="213" xfId="104" applyFont="1" applyFill="1" applyBorder="1" applyAlignment="1">
      <alignment horizontal="center" vertical="center" wrapText="1"/>
    </xf>
    <xf numFmtId="0" fontId="111" fillId="24" borderId="100" xfId="104" applyFont="1" applyFill="1" applyBorder="1" applyAlignment="1">
      <alignment horizontal="center" vertical="center" wrapText="1"/>
    </xf>
    <xf numFmtId="0" fontId="162" fillId="24" borderId="214" xfId="104" applyFont="1" applyFill="1" applyBorder="1" applyAlignment="1">
      <alignment horizontal="left" vertical="center" wrapText="1"/>
    </xf>
    <xf numFmtId="0" fontId="162" fillId="24" borderId="189" xfId="104" applyFont="1" applyFill="1" applyBorder="1" applyAlignment="1">
      <alignment horizontal="left" vertical="center" wrapText="1"/>
    </xf>
    <xf numFmtId="0" fontId="162" fillId="24" borderId="182" xfId="104" applyFont="1" applyFill="1" applyBorder="1" applyAlignment="1">
      <alignment horizontal="left" vertical="center" wrapText="1"/>
    </xf>
    <xf numFmtId="0" fontId="31" fillId="72" borderId="80" xfId="104" applyFont="1" applyFill="1" applyBorder="1" applyAlignment="1">
      <alignment horizontal="left" vertical="center"/>
    </xf>
    <xf numFmtId="0" fontId="31" fillId="72" borderId="162" xfId="104" applyFont="1" applyFill="1" applyBorder="1" applyAlignment="1">
      <alignment horizontal="left" vertical="center"/>
    </xf>
    <xf numFmtId="0" fontId="31" fillId="72" borderId="55" xfId="104" applyFont="1" applyFill="1" applyBorder="1" applyAlignment="1">
      <alignment horizontal="left" vertical="center"/>
    </xf>
    <xf numFmtId="0" fontId="162" fillId="24" borderId="29" xfId="104" applyFont="1" applyFill="1" applyBorder="1" applyAlignment="1">
      <alignment horizontal="center" vertical="center"/>
    </xf>
    <xf numFmtId="0" fontId="162" fillId="24" borderId="213" xfId="104" applyFont="1" applyFill="1" applyBorder="1" applyAlignment="1">
      <alignment horizontal="left" vertical="center"/>
    </xf>
    <xf numFmtId="0" fontId="162" fillId="24" borderId="212" xfId="104" applyFont="1" applyFill="1" applyBorder="1" applyAlignment="1">
      <alignment horizontal="left" vertical="center"/>
    </xf>
    <xf numFmtId="0" fontId="162" fillId="24" borderId="159" xfId="104" applyFont="1" applyFill="1" applyBorder="1" applyAlignment="1">
      <alignment vertical="center" wrapText="1"/>
    </xf>
    <xf numFmtId="0" fontId="162" fillId="24" borderId="160" xfId="104" applyFont="1" applyFill="1" applyBorder="1" applyAlignment="1">
      <alignment vertical="center" wrapText="1"/>
    </xf>
    <xf numFmtId="0" fontId="162" fillId="24" borderId="161" xfId="104" applyFont="1" applyFill="1" applyBorder="1" applyAlignment="1">
      <alignment vertical="center" wrapText="1"/>
    </xf>
    <xf numFmtId="0" fontId="3" fillId="24" borderId="148" xfId="104" applyFill="1" applyBorder="1" applyAlignment="1">
      <alignment horizontal="left" vertical="center"/>
    </xf>
    <xf numFmtId="0" fontId="3" fillId="24" borderId="149" xfId="104" applyFill="1" applyBorder="1" applyAlignment="1">
      <alignment horizontal="left" vertical="center"/>
    </xf>
    <xf numFmtId="0" fontId="3" fillId="24" borderId="150" xfId="104" applyFill="1" applyBorder="1" applyAlignment="1">
      <alignment horizontal="left" vertical="center"/>
    </xf>
    <xf numFmtId="0" fontId="3" fillId="24" borderId="151" xfId="104" applyFill="1" applyBorder="1" applyAlignment="1">
      <alignment horizontal="left" vertical="center"/>
    </xf>
    <xf numFmtId="0" fontId="3" fillId="24" borderId="0" xfId="104" applyFill="1" applyBorder="1" applyAlignment="1">
      <alignment horizontal="left" vertical="center"/>
    </xf>
    <xf numFmtId="0" fontId="3" fillId="24" borderId="152" xfId="104" applyFill="1" applyBorder="1" applyAlignment="1">
      <alignment horizontal="left" vertical="center"/>
    </xf>
    <xf numFmtId="0" fontId="3" fillId="24" borderId="153" xfId="104" applyFill="1" applyBorder="1" applyAlignment="1">
      <alignment horizontal="left" vertical="center"/>
    </xf>
    <xf numFmtId="0" fontId="3" fillId="24" borderId="154" xfId="104" applyFill="1" applyBorder="1" applyAlignment="1">
      <alignment horizontal="left" vertical="center"/>
    </xf>
    <xf numFmtId="0" fontId="3" fillId="24" borderId="155" xfId="104" applyFill="1" applyBorder="1" applyAlignment="1">
      <alignment horizontal="left" vertical="center"/>
    </xf>
    <xf numFmtId="0" fontId="162" fillId="24" borderId="138" xfId="104" quotePrefix="1" applyFont="1" applyFill="1" applyBorder="1" applyAlignment="1">
      <alignment vertical="center" wrapText="1"/>
    </xf>
    <xf numFmtId="0" fontId="0" fillId="35" borderId="138" xfId="0" applyFill="1" applyBorder="1" applyAlignment="1">
      <alignment vertical="center" wrapText="1"/>
    </xf>
    <xf numFmtId="0" fontId="0" fillId="35" borderId="139" xfId="0" applyFill="1" applyBorder="1" applyAlignment="1">
      <alignment vertical="center" wrapText="1"/>
    </xf>
    <xf numFmtId="0" fontId="0" fillId="35" borderId="140" xfId="0" applyFill="1" applyBorder="1" applyAlignment="1">
      <alignment vertical="center" wrapText="1"/>
    </xf>
    <xf numFmtId="0" fontId="0" fillId="25" borderId="141" xfId="0" applyFill="1" applyBorder="1" applyAlignment="1">
      <alignment horizontal="center" vertical="center"/>
    </xf>
    <xf numFmtId="0" fontId="0" fillId="25" borderId="105" xfId="0" applyFill="1" applyBorder="1" applyAlignment="1">
      <alignment horizontal="center" vertical="center"/>
    </xf>
    <xf numFmtId="0" fontId="0" fillId="25" borderId="142" xfId="0" applyFill="1" applyBorder="1" applyAlignment="1">
      <alignment horizontal="center" vertical="center"/>
    </xf>
    <xf numFmtId="0" fontId="0" fillId="25" borderId="102" xfId="0" applyFill="1" applyBorder="1" applyAlignment="1">
      <alignment horizontal="center" vertical="center"/>
    </xf>
    <xf numFmtId="0" fontId="0" fillId="25" borderId="103" xfId="0" applyFill="1" applyBorder="1" applyAlignment="1">
      <alignment horizontal="center" vertical="center"/>
    </xf>
    <xf numFmtId="0" fontId="0" fillId="25" borderId="104" xfId="0" applyFill="1" applyBorder="1" applyAlignment="1">
      <alignment horizontal="center" vertical="center"/>
    </xf>
    <xf numFmtId="0" fontId="0" fillId="25" borderId="143" xfId="0" applyFill="1" applyBorder="1" applyAlignment="1">
      <alignment horizontal="center" vertical="center"/>
    </xf>
    <xf numFmtId="0" fontId="0" fillId="25" borderId="144" xfId="0" applyFill="1" applyBorder="1" applyAlignment="1">
      <alignment horizontal="center" vertical="center"/>
    </xf>
    <xf numFmtId="0" fontId="0" fillId="25" borderId="145" xfId="0" applyFill="1" applyBorder="1" applyAlignment="1">
      <alignment horizontal="center" vertical="center"/>
    </xf>
    <xf numFmtId="0" fontId="0" fillId="25" borderId="146" xfId="0" applyFill="1" applyBorder="1" applyAlignment="1">
      <alignment horizontal="center" vertical="center"/>
    </xf>
    <xf numFmtId="0" fontId="0" fillId="25" borderId="0" xfId="0" applyFill="1" applyBorder="1" applyAlignment="1">
      <alignment horizontal="center" vertical="center"/>
    </xf>
    <xf numFmtId="0" fontId="0" fillId="25" borderId="147" xfId="0" applyFill="1" applyBorder="1" applyAlignment="1">
      <alignment horizontal="center" vertical="center"/>
    </xf>
    <xf numFmtId="0" fontId="0" fillId="25" borderId="138" xfId="0" applyFill="1" applyBorder="1" applyAlignment="1">
      <alignment vertical="center" wrapText="1"/>
    </xf>
    <xf numFmtId="0" fontId="0" fillId="0" borderId="139" xfId="0" applyBorder="1" applyAlignment="1">
      <alignment vertical="center" wrapText="1"/>
    </xf>
    <xf numFmtId="0" fontId="0" fillId="0" borderId="140" xfId="0" applyBorder="1" applyAlignment="1">
      <alignment vertical="center" wrapText="1"/>
    </xf>
    <xf numFmtId="0" fontId="0" fillId="25" borderId="139" xfId="0" applyFill="1" applyBorder="1" applyAlignment="1">
      <alignment vertical="center" wrapText="1"/>
    </xf>
    <xf numFmtId="0" fontId="0" fillId="25" borderId="140" xfId="0" applyFill="1" applyBorder="1" applyAlignment="1">
      <alignment vertical="center" wrapText="1"/>
    </xf>
    <xf numFmtId="0" fontId="0" fillId="25" borderId="159" xfId="0" applyFill="1" applyBorder="1" applyAlignment="1">
      <alignment vertical="center" wrapText="1"/>
    </xf>
    <xf numFmtId="0" fontId="0" fillId="0" borderId="160" xfId="0" applyBorder="1" applyAlignment="1">
      <alignment vertical="center" wrapText="1"/>
    </xf>
    <xf numFmtId="0" fontId="0" fillId="0" borderId="161" xfId="0" applyBorder="1" applyAlignment="1">
      <alignment vertical="center" wrapText="1"/>
    </xf>
    <xf numFmtId="0" fontId="0" fillId="25" borderId="148" xfId="0" applyFill="1" applyBorder="1" applyAlignment="1">
      <alignment horizontal="left" vertical="center"/>
    </xf>
    <xf numFmtId="0" fontId="0" fillId="25" borderId="149" xfId="0" applyFill="1" applyBorder="1" applyAlignment="1">
      <alignment horizontal="left" vertical="center"/>
    </xf>
    <xf numFmtId="0" fontId="0" fillId="25" borderId="150" xfId="0" applyFill="1" applyBorder="1" applyAlignment="1">
      <alignment horizontal="left" vertical="center"/>
    </xf>
    <xf numFmtId="0" fontId="0" fillId="25" borderId="151" xfId="0" applyFill="1" applyBorder="1" applyAlignment="1">
      <alignment horizontal="left" vertical="center"/>
    </xf>
    <xf numFmtId="0" fontId="0" fillId="25" borderId="0" xfId="0" applyFill="1" applyBorder="1" applyAlignment="1">
      <alignment horizontal="left" vertical="center"/>
    </xf>
    <xf numFmtId="0" fontId="0" fillId="25" borderId="152" xfId="0" applyFill="1" applyBorder="1" applyAlignment="1">
      <alignment horizontal="left" vertical="center"/>
    </xf>
    <xf numFmtId="0" fontId="0" fillId="25" borderId="153" xfId="0" applyFill="1" applyBorder="1" applyAlignment="1">
      <alignment horizontal="left" vertical="center"/>
    </xf>
    <xf numFmtId="0" fontId="0" fillId="25" borderId="154" xfId="0" applyFill="1" applyBorder="1" applyAlignment="1">
      <alignment horizontal="left" vertical="center"/>
    </xf>
    <xf numFmtId="0" fontId="0" fillId="25" borderId="155" xfId="0" applyFill="1" applyBorder="1" applyAlignment="1">
      <alignment horizontal="left" vertical="center"/>
    </xf>
    <xf numFmtId="0" fontId="0" fillId="23" borderId="156" xfId="0" applyFill="1" applyBorder="1" applyAlignment="1">
      <alignment horizontal="center" vertical="center"/>
    </xf>
    <xf numFmtId="0" fontId="0" fillId="23" borderId="157" xfId="0" applyFill="1" applyBorder="1" applyAlignment="1">
      <alignment horizontal="center" vertical="center"/>
    </xf>
    <xf numFmtId="0" fontId="0" fillId="23" borderId="158" xfId="0" applyFill="1" applyBorder="1" applyAlignment="1">
      <alignment horizontal="center" vertical="center"/>
    </xf>
    <xf numFmtId="0" fontId="0" fillId="25" borderId="138" xfId="0" quotePrefix="1" applyFill="1" applyBorder="1" applyAlignment="1">
      <alignment vertical="center" wrapText="1"/>
    </xf>
    <xf numFmtId="0" fontId="10" fillId="25" borderId="138" xfId="0" applyFont="1" applyFill="1" applyBorder="1" applyAlignment="1">
      <alignment vertical="center" wrapText="1"/>
    </xf>
    <xf numFmtId="0" fontId="90" fillId="27" borderId="103" xfId="104" applyFont="1" applyFill="1" applyBorder="1" applyAlignment="1">
      <alignment horizontal="center" vertical="center" wrapText="1"/>
    </xf>
    <xf numFmtId="0" fontId="8" fillId="27" borderId="102" xfId="104" applyFont="1" applyFill="1" applyBorder="1" applyAlignment="1">
      <alignment horizontal="center" vertical="center" wrapText="1"/>
    </xf>
    <xf numFmtId="0" fontId="8" fillId="27" borderId="103" xfId="104" applyFont="1" applyFill="1" applyBorder="1" applyAlignment="1">
      <alignment horizontal="center" vertical="center" wrapText="1"/>
    </xf>
    <xf numFmtId="0" fontId="111" fillId="24" borderId="16" xfId="104" applyFont="1" applyFill="1" applyBorder="1" applyAlignment="1">
      <alignment horizontal="center" vertical="center" wrapText="1"/>
    </xf>
    <xf numFmtId="0" fontId="111" fillId="24" borderId="15" xfId="104" applyFont="1" applyFill="1" applyBorder="1" applyAlignment="1">
      <alignment horizontal="center" vertical="center"/>
    </xf>
    <xf numFmtId="0" fontId="8" fillId="24" borderId="110" xfId="104" applyFont="1" applyFill="1" applyBorder="1" applyAlignment="1">
      <alignment horizontal="center" vertical="center"/>
    </xf>
    <xf numFmtId="0" fontId="170" fillId="24" borderId="102" xfId="104" applyFont="1" applyFill="1" applyBorder="1" applyAlignment="1">
      <alignment horizontal="center" vertical="center"/>
    </xf>
    <xf numFmtId="0" fontId="170" fillId="24" borderId="103" xfId="104" applyFont="1" applyFill="1" applyBorder="1" applyAlignment="1">
      <alignment horizontal="center" vertical="center"/>
    </xf>
    <xf numFmtId="0" fontId="170" fillId="24" borderId="104" xfId="104" applyFont="1" applyFill="1" applyBorder="1" applyAlignment="1">
      <alignment horizontal="center" vertical="center"/>
    </xf>
    <xf numFmtId="0" fontId="162" fillId="24" borderId="143" xfId="104" applyFont="1" applyFill="1" applyBorder="1" applyAlignment="1">
      <alignment horizontal="center" vertical="center"/>
    </xf>
    <xf numFmtId="0" fontId="162" fillId="24" borderId="144" xfId="104" applyFont="1" applyFill="1" applyBorder="1" applyAlignment="1">
      <alignment horizontal="center" vertical="center"/>
    </xf>
    <xf numFmtId="0" fontId="162" fillId="24" borderId="145" xfId="104" applyFont="1" applyFill="1" applyBorder="1" applyAlignment="1">
      <alignment horizontal="center" vertical="center"/>
    </xf>
    <xf numFmtId="0" fontId="155" fillId="24" borderId="146" xfId="104" applyFont="1" applyFill="1" applyBorder="1" applyAlignment="1">
      <alignment horizontal="right" vertical="center"/>
    </xf>
    <xf numFmtId="0" fontId="8" fillId="65" borderId="80" xfId="104" applyFont="1" applyFill="1" applyBorder="1" applyAlignment="1">
      <alignment horizontal="left" vertical="center"/>
    </xf>
    <xf numFmtId="0" fontId="8" fillId="65" borderId="162" xfId="104" applyFont="1" applyFill="1" applyBorder="1" applyAlignment="1">
      <alignment horizontal="left" vertical="center"/>
    </xf>
    <xf numFmtId="0" fontId="8" fillId="65" borderId="55" xfId="104" applyFont="1" applyFill="1" applyBorder="1" applyAlignment="1">
      <alignment horizontal="left" vertical="center"/>
    </xf>
    <xf numFmtId="0" fontId="186" fillId="24" borderId="213" xfId="104" applyFont="1" applyFill="1" applyBorder="1" applyAlignment="1">
      <alignment horizontal="left" vertical="center" wrapText="1"/>
    </xf>
    <xf numFmtId="0" fontId="155" fillId="24" borderId="213" xfId="104" applyFont="1" applyFill="1" applyBorder="1" applyAlignment="1">
      <alignment horizontal="left" vertical="center" wrapText="1"/>
    </xf>
    <xf numFmtId="0" fontId="155" fillId="24" borderId="212" xfId="104" applyFont="1" applyFill="1" applyBorder="1" applyAlignment="1">
      <alignment horizontal="left" vertical="center" wrapText="1"/>
    </xf>
    <xf numFmtId="0" fontId="11" fillId="24" borderId="0" xfId="66" applyFont="1" applyFill="1" applyBorder="1" applyAlignment="1" applyProtection="1">
      <alignment horizontal="left" vertical="center"/>
    </xf>
    <xf numFmtId="0" fontId="11" fillId="24" borderId="29" xfId="66" applyFont="1" applyFill="1" applyBorder="1" applyAlignment="1" applyProtection="1">
      <alignment horizontal="left" vertical="center"/>
    </xf>
    <xf numFmtId="0" fontId="186" fillId="24" borderId="15" xfId="104" applyFont="1" applyFill="1" applyBorder="1" applyAlignment="1">
      <alignment horizontal="left" vertical="center" wrapText="1"/>
    </xf>
    <xf numFmtId="0" fontId="155" fillId="24" borderId="15" xfId="104" applyFont="1" applyFill="1" applyBorder="1" applyAlignment="1">
      <alignment horizontal="left" vertical="center" wrapText="1"/>
    </xf>
    <xf numFmtId="0" fontId="155" fillId="24" borderId="217" xfId="104" applyFont="1" applyFill="1" applyBorder="1" applyAlignment="1">
      <alignment horizontal="left" vertical="center" wrapText="1"/>
    </xf>
    <xf numFmtId="0" fontId="162" fillId="24" borderId="197" xfId="104" applyFont="1" applyFill="1" applyBorder="1" applyAlignment="1">
      <alignment horizontal="left" vertical="center" wrapText="1"/>
    </xf>
    <xf numFmtId="0" fontId="162" fillId="24" borderId="14" xfId="104" applyFont="1" applyFill="1" applyBorder="1" applyAlignment="1">
      <alignment horizontal="left" vertical="center" wrapText="1"/>
    </xf>
    <xf numFmtId="0" fontId="162" fillId="24" borderId="19" xfId="104" applyFont="1" applyFill="1" applyBorder="1" applyAlignment="1">
      <alignment horizontal="left" vertical="center" wrapText="1"/>
    </xf>
    <xf numFmtId="0" fontId="162" fillId="24" borderId="10" xfId="104" applyFont="1" applyFill="1" applyBorder="1" applyAlignment="1">
      <alignment horizontal="left" vertical="center" wrapText="1"/>
    </xf>
    <xf numFmtId="0" fontId="162" fillId="24" borderId="218" xfId="104" applyFont="1" applyFill="1" applyBorder="1" applyAlignment="1">
      <alignment horizontal="left" vertical="center" wrapText="1"/>
    </xf>
    <xf numFmtId="0" fontId="162" fillId="24" borderId="22" xfId="104" applyFont="1" applyFill="1" applyBorder="1" applyAlignment="1">
      <alignment horizontal="left" vertical="center" wrapText="1"/>
    </xf>
    <xf numFmtId="0" fontId="162" fillId="24" borderId="11" xfId="104" applyFont="1" applyFill="1" applyBorder="1" applyAlignment="1">
      <alignment horizontal="left" vertical="center" wrapText="1"/>
    </xf>
    <xf numFmtId="0" fontId="3" fillId="0" borderId="12" xfId="104" applyBorder="1"/>
    <xf numFmtId="0" fontId="3" fillId="0" borderId="192" xfId="104" applyBorder="1"/>
    <xf numFmtId="0" fontId="162" fillId="24" borderId="25" xfId="104" applyFont="1" applyFill="1" applyBorder="1" applyAlignment="1">
      <alignment horizontal="left" vertical="center" wrapText="1"/>
    </xf>
    <xf numFmtId="0" fontId="162" fillId="24" borderId="23" xfId="104" applyFont="1" applyFill="1" applyBorder="1" applyAlignment="1">
      <alignment horizontal="left" vertical="center" wrapText="1"/>
    </xf>
    <xf numFmtId="0" fontId="162" fillId="24" borderId="191" xfId="104" applyFont="1" applyFill="1" applyBorder="1" applyAlignment="1">
      <alignment horizontal="left" vertical="center" wrapText="1"/>
    </xf>
    <xf numFmtId="0" fontId="46" fillId="24" borderId="9" xfId="104" applyFont="1" applyFill="1" applyBorder="1" applyAlignment="1">
      <alignment horizontal="left" vertical="center" wrapText="1"/>
    </xf>
    <xf numFmtId="0" fontId="46" fillId="24" borderId="0" xfId="104" applyFont="1" applyFill="1" applyBorder="1" applyAlignment="1">
      <alignment horizontal="left" vertical="center" wrapText="1"/>
    </xf>
    <xf numFmtId="0" fontId="46" fillId="24" borderId="29" xfId="104" applyFont="1" applyFill="1" applyBorder="1" applyAlignment="1">
      <alignment horizontal="left" vertical="center" wrapText="1"/>
    </xf>
    <xf numFmtId="0" fontId="46" fillId="24" borderId="20" xfId="104" applyFont="1" applyFill="1" applyBorder="1" applyAlignment="1">
      <alignment horizontal="left" vertical="center" wrapText="1"/>
    </xf>
    <xf numFmtId="0" fontId="46" fillId="24" borderId="21" xfId="104" applyFont="1" applyFill="1" applyBorder="1" applyAlignment="1">
      <alignment horizontal="left" vertical="center" wrapText="1"/>
    </xf>
    <xf numFmtId="0" fontId="46" fillId="24" borderId="30" xfId="104" applyFont="1" applyFill="1" applyBorder="1" applyAlignment="1">
      <alignment horizontal="left" vertical="center" wrapText="1"/>
    </xf>
    <xf numFmtId="0" fontId="155" fillId="24" borderId="138" xfId="104" applyFont="1" applyFill="1" applyBorder="1" applyAlignment="1">
      <alignment horizontal="center" vertical="center" wrapText="1"/>
    </xf>
    <xf numFmtId="0" fontId="162" fillId="24" borderId="139" xfId="104" applyFont="1" applyFill="1" applyBorder="1" applyAlignment="1">
      <alignment horizontal="center" vertical="center" wrapText="1"/>
    </xf>
    <xf numFmtId="0" fontId="162" fillId="24" borderId="0" xfId="104" applyFont="1" applyFill="1" applyBorder="1" applyAlignment="1">
      <alignment vertical="center"/>
    </xf>
    <xf numFmtId="0" fontId="162" fillId="73" borderId="138" xfId="104" applyFont="1" applyFill="1" applyBorder="1" applyAlignment="1">
      <alignment vertical="center" wrapText="1"/>
    </xf>
    <xf numFmtId="0" fontId="162" fillId="73" borderId="139" xfId="104" applyFont="1" applyFill="1" applyBorder="1" applyAlignment="1">
      <alignment vertical="center" wrapText="1"/>
    </xf>
    <xf numFmtId="0" fontId="162" fillId="73" borderId="140" xfId="104" applyFont="1" applyFill="1" applyBorder="1" applyAlignment="1">
      <alignment vertical="center" wrapText="1"/>
    </xf>
    <xf numFmtId="0" fontId="155" fillId="24" borderId="0" xfId="104" applyFont="1" applyFill="1" applyBorder="1" applyAlignment="1">
      <alignment horizontal="center" vertical="center"/>
    </xf>
    <xf numFmtId="0" fontId="155" fillId="24" borderId="208" xfId="104" applyFont="1" applyFill="1" applyBorder="1" applyAlignment="1">
      <alignment horizontal="center" vertical="center"/>
    </xf>
    <xf numFmtId="0" fontId="155" fillId="24" borderId="80" xfId="104" applyFont="1" applyFill="1" applyBorder="1" applyAlignment="1">
      <alignment horizontal="center" vertical="center"/>
    </xf>
    <xf numFmtId="0" fontId="155" fillId="24" borderId="162" xfId="104" applyFont="1" applyFill="1" applyBorder="1" applyAlignment="1">
      <alignment horizontal="center" vertical="center"/>
    </xf>
    <xf numFmtId="0" fontId="155" fillId="24" borderId="55" xfId="104" applyFont="1" applyFill="1" applyBorder="1" applyAlignment="1">
      <alignment horizontal="center" vertical="center"/>
    </xf>
    <xf numFmtId="0" fontId="10" fillId="25" borderId="138" xfId="0" applyFont="1" applyFill="1" applyBorder="1" applyAlignment="1">
      <alignment horizontal="center" vertical="center" wrapText="1"/>
    </xf>
    <xf numFmtId="0" fontId="0" fillId="0" borderId="139" xfId="0" applyBorder="1" applyAlignment="1">
      <alignment horizontal="center" vertical="center" wrapText="1"/>
    </xf>
    <xf numFmtId="0" fontId="0" fillId="0" borderId="140" xfId="0" applyBorder="1" applyAlignment="1">
      <alignment horizontal="center" vertical="center" wrapText="1"/>
    </xf>
    <xf numFmtId="0" fontId="0" fillId="23" borderId="0" xfId="0" applyFill="1" applyBorder="1" applyAlignment="1">
      <alignment vertical="center"/>
    </xf>
    <xf numFmtId="0" fontId="155" fillId="24" borderId="25" xfId="104" applyFont="1" applyFill="1" applyBorder="1" applyAlignment="1">
      <alignment horizontal="center" vertical="center"/>
    </xf>
    <xf numFmtId="0" fontId="155" fillId="24" borderId="24" xfId="104" applyFont="1" applyFill="1" applyBorder="1" applyAlignment="1">
      <alignment horizontal="center" vertical="center"/>
    </xf>
    <xf numFmtId="0" fontId="155" fillId="27" borderId="228" xfId="104" applyFont="1" applyFill="1" applyBorder="1" applyAlignment="1">
      <alignment horizontal="center" vertical="center" wrapText="1"/>
    </xf>
    <xf numFmtId="0" fontId="155" fillId="27" borderId="227" xfId="104" applyFont="1" applyFill="1" applyBorder="1" applyAlignment="1">
      <alignment horizontal="center" vertical="center" wrapText="1"/>
    </xf>
    <xf numFmtId="0" fontId="8" fillId="73" borderId="196" xfId="104" applyFont="1" applyFill="1" applyBorder="1" applyAlignment="1">
      <alignment horizontal="center" vertical="center"/>
    </xf>
    <xf numFmtId="0" fontId="8" fillId="73" borderId="195" xfId="104" applyFont="1" applyFill="1" applyBorder="1" applyAlignment="1">
      <alignment horizontal="center" vertical="center"/>
    </xf>
    <xf numFmtId="0" fontId="8" fillId="73" borderId="18" xfId="104" applyFont="1" applyFill="1" applyBorder="1" applyAlignment="1">
      <alignment horizontal="left" vertical="center"/>
    </xf>
    <xf numFmtId="0" fontId="31" fillId="72" borderId="19" xfId="104" applyFont="1" applyFill="1" applyBorder="1" applyAlignment="1">
      <alignment horizontal="left" vertical="center"/>
    </xf>
    <xf numFmtId="0" fontId="31" fillId="72" borderId="0" xfId="104" applyFont="1" applyFill="1" applyBorder="1" applyAlignment="1">
      <alignment horizontal="left" vertical="center"/>
    </xf>
    <xf numFmtId="0" fontId="31" fillId="72" borderId="29" xfId="104" applyFont="1" applyFill="1" applyBorder="1" applyAlignment="1">
      <alignment horizontal="left" vertical="center"/>
    </xf>
    <xf numFmtId="0" fontId="162" fillId="24" borderId="19" xfId="104" applyFont="1" applyFill="1" applyBorder="1" applyAlignment="1">
      <alignment horizontal="left" vertical="center"/>
    </xf>
    <xf numFmtId="0" fontId="186" fillId="24" borderId="19" xfId="104" applyFont="1" applyFill="1" applyBorder="1" applyAlignment="1">
      <alignment horizontal="left" vertical="center"/>
    </xf>
    <xf numFmtId="0" fontId="155" fillId="24" borderId="19" xfId="104" applyFont="1" applyFill="1" applyBorder="1" applyAlignment="1">
      <alignment horizontal="left" vertical="center"/>
    </xf>
    <xf numFmtId="0" fontId="155" fillId="34" borderId="186" xfId="104" applyFont="1" applyFill="1" applyBorder="1" applyAlignment="1">
      <alignment horizontal="center" vertical="center"/>
    </xf>
    <xf numFmtId="0" fontId="155" fillId="34" borderId="187" xfId="104" applyFont="1" applyFill="1" applyBorder="1" applyAlignment="1">
      <alignment horizontal="center" vertical="center"/>
    </xf>
    <xf numFmtId="0" fontId="155" fillId="24" borderId="19" xfId="104" quotePrefix="1" applyFont="1" applyFill="1" applyBorder="1" applyAlignment="1">
      <alignment horizontal="left" vertical="center" wrapText="1"/>
    </xf>
    <xf numFmtId="0" fontId="155" fillId="24" borderId="0" xfId="104" quotePrefix="1" applyFont="1" applyFill="1" applyBorder="1" applyAlignment="1">
      <alignment horizontal="left" vertical="center" wrapText="1"/>
    </xf>
    <xf numFmtId="0" fontId="155" fillId="24" borderId="29" xfId="104" quotePrefix="1" applyFont="1" applyFill="1" applyBorder="1" applyAlignment="1">
      <alignment horizontal="left" vertical="center" wrapText="1"/>
    </xf>
    <xf numFmtId="0" fontId="186" fillId="24" borderId="19" xfId="104" quotePrefix="1" applyFont="1" applyFill="1" applyBorder="1" applyAlignment="1">
      <alignment horizontal="left" vertical="center" wrapText="1"/>
    </xf>
    <xf numFmtId="0" fontId="46" fillId="24" borderId="77" xfId="104" applyFont="1" applyFill="1" applyBorder="1" applyAlignment="1">
      <alignment horizontal="left" vertical="center" wrapText="1"/>
    </xf>
    <xf numFmtId="0" fontId="46" fillId="24" borderId="78" xfId="104" applyFont="1" applyFill="1" applyBorder="1" applyAlignment="1">
      <alignment horizontal="left" vertical="center" wrapText="1"/>
    </xf>
    <xf numFmtId="0" fontId="46" fillId="24" borderId="79" xfId="104" applyFont="1" applyFill="1" applyBorder="1" applyAlignment="1">
      <alignment horizontal="left" vertical="center" wrapText="1"/>
    </xf>
    <xf numFmtId="0" fontId="155" fillId="24" borderId="118" xfId="104" applyFont="1" applyFill="1" applyBorder="1" applyAlignment="1">
      <alignment horizontal="center" vertical="center"/>
    </xf>
    <xf numFmtId="0" fontId="155" fillId="24" borderId="108" xfId="104" applyFont="1" applyFill="1" applyBorder="1" applyAlignment="1">
      <alignment horizontal="center" vertical="center"/>
    </xf>
    <xf numFmtId="0" fontId="155" fillId="24" borderId="109" xfId="104" applyFont="1" applyFill="1" applyBorder="1" applyAlignment="1">
      <alignment horizontal="center" vertical="center"/>
    </xf>
    <xf numFmtId="0" fontId="162" fillId="0" borderId="108" xfId="104" applyFont="1" applyBorder="1" applyAlignment="1">
      <alignment horizontal="center" vertical="center"/>
    </xf>
    <xf numFmtId="0" fontId="162" fillId="0" borderId="109" xfId="104" applyFont="1" applyBorder="1" applyAlignment="1">
      <alignment horizontal="center" vertical="center"/>
    </xf>
    <xf numFmtId="1" fontId="0" fillId="73" borderId="9" xfId="104" applyNumberFormat="1" applyFont="1" applyFill="1" applyBorder="1" applyAlignment="1">
      <alignment horizontal="left" vertical="center" wrapText="1"/>
    </xf>
    <xf numFmtId="1" fontId="155" fillId="73" borderId="0" xfId="104" applyNumberFormat="1" applyFont="1" applyFill="1" applyBorder="1" applyAlignment="1">
      <alignment horizontal="left" vertical="center" wrapText="1"/>
    </xf>
    <xf numFmtId="1" fontId="155" fillId="73" borderId="29" xfId="104" applyNumberFormat="1" applyFont="1" applyFill="1" applyBorder="1" applyAlignment="1">
      <alignment horizontal="left" vertical="center" wrapText="1"/>
    </xf>
    <xf numFmtId="1" fontId="155" fillId="73" borderId="9" xfId="104" applyNumberFormat="1" applyFont="1" applyFill="1" applyBorder="1" applyAlignment="1">
      <alignment horizontal="left" vertical="center" wrapText="1"/>
    </xf>
    <xf numFmtId="2" fontId="46" fillId="73" borderId="0" xfId="104" applyNumberFormat="1" applyFont="1" applyFill="1" applyBorder="1" applyAlignment="1">
      <alignment horizontal="center" vertical="center"/>
    </xf>
    <xf numFmtId="170" fontId="0" fillId="73" borderId="11" xfId="104" applyNumberFormat="1" applyFont="1" applyFill="1" applyBorder="1" applyAlignment="1">
      <alignment horizontal="left" vertical="center" wrapText="1"/>
    </xf>
    <xf numFmtId="170" fontId="155" fillId="73" borderId="12" xfId="104" applyNumberFormat="1" applyFont="1" applyFill="1" applyBorder="1" applyAlignment="1">
      <alignment horizontal="left" vertical="center" wrapText="1"/>
    </xf>
    <xf numFmtId="170" fontId="155" fillId="73" borderId="14" xfId="104" applyNumberFormat="1" applyFont="1" applyFill="1" applyBorder="1" applyAlignment="1">
      <alignment horizontal="left" vertical="center" wrapText="1"/>
    </xf>
    <xf numFmtId="170" fontId="155" fillId="73" borderId="20" xfId="104" applyNumberFormat="1" applyFont="1" applyFill="1" applyBorder="1" applyAlignment="1">
      <alignment horizontal="left" vertical="center" wrapText="1"/>
    </xf>
    <xf numFmtId="170" fontId="155" fillId="73" borderId="21" xfId="104" applyNumberFormat="1" applyFont="1" applyFill="1" applyBorder="1" applyAlignment="1">
      <alignment horizontal="left" vertical="center" wrapText="1"/>
    </xf>
    <xf numFmtId="170" fontId="155" fillId="73" borderId="22" xfId="104" applyNumberFormat="1" applyFont="1" applyFill="1" applyBorder="1" applyAlignment="1">
      <alignment horizontal="left" vertical="center" wrapText="1"/>
    </xf>
    <xf numFmtId="2" fontId="155" fillId="73" borderId="25" xfId="104" applyNumberFormat="1" applyFont="1" applyFill="1" applyBorder="1" applyAlignment="1">
      <alignment horizontal="left" vertical="center"/>
    </xf>
    <xf numFmtId="2" fontId="155" fillId="73" borderId="23" xfId="104" applyNumberFormat="1" applyFont="1" applyFill="1" applyBorder="1" applyAlignment="1">
      <alignment horizontal="left" vertical="center"/>
    </xf>
    <xf numFmtId="2" fontId="155" fillId="73" borderId="24" xfId="104" applyNumberFormat="1" applyFont="1" applyFill="1" applyBorder="1" applyAlignment="1">
      <alignment horizontal="left" vertical="center"/>
    </xf>
    <xf numFmtId="2" fontId="155" fillId="73" borderId="214" xfId="104" applyNumberFormat="1" applyFont="1" applyFill="1" applyBorder="1" applyAlignment="1">
      <alignment horizontal="center" vertical="center"/>
    </xf>
    <xf numFmtId="2" fontId="155" fillId="73" borderId="189" xfId="104" applyNumberFormat="1" applyFont="1" applyFill="1" applyBorder="1" applyAlignment="1">
      <alignment horizontal="center" vertical="center"/>
    </xf>
    <xf numFmtId="2" fontId="155" fillId="73" borderId="190" xfId="104" applyNumberFormat="1" applyFont="1" applyFill="1" applyBorder="1" applyAlignment="1">
      <alignment horizontal="center" vertical="center"/>
    </xf>
    <xf numFmtId="170" fontId="155" fillId="73" borderId="25" xfId="104" applyNumberFormat="1" applyFont="1" applyFill="1" applyBorder="1" applyAlignment="1">
      <alignment horizontal="left" vertical="center"/>
    </xf>
    <xf numFmtId="170" fontId="155" fillId="73" borderId="23" xfId="104" applyNumberFormat="1" applyFont="1" applyFill="1" applyBorder="1" applyAlignment="1">
      <alignment horizontal="left" vertical="center"/>
    </xf>
    <xf numFmtId="170" fontId="155" fillId="73" borderId="24" xfId="104" applyNumberFormat="1" applyFont="1" applyFill="1" applyBorder="1" applyAlignment="1">
      <alignment horizontal="left" vertical="center"/>
    </xf>
    <xf numFmtId="170" fontId="155" fillId="73" borderId="100" xfId="104" applyNumberFormat="1" applyFont="1" applyFill="1" applyBorder="1" applyAlignment="1">
      <alignment horizontal="left" vertical="center" wrapText="1"/>
    </xf>
    <xf numFmtId="0" fontId="186" fillId="24" borderId="0" xfId="104" applyFont="1" applyFill="1" applyBorder="1" applyAlignment="1">
      <alignment horizontal="left" vertical="center" wrapText="1"/>
    </xf>
    <xf numFmtId="0" fontId="155" fillId="24" borderId="0" xfId="104" applyFont="1" applyFill="1" applyBorder="1" applyAlignment="1">
      <alignment horizontal="left" vertical="center" wrapText="1"/>
    </xf>
    <xf numFmtId="0" fontId="155" fillId="24" borderId="29" xfId="104" applyFont="1" applyFill="1" applyBorder="1" applyAlignment="1">
      <alignment horizontal="left" vertical="center" wrapText="1"/>
    </xf>
    <xf numFmtId="0" fontId="155" fillId="24" borderId="29" xfId="104" applyFont="1" applyFill="1" applyBorder="1" applyAlignment="1">
      <alignment horizontal="center" vertical="center"/>
    </xf>
    <xf numFmtId="0" fontId="11" fillId="24" borderId="0" xfId="66" applyFont="1" applyFill="1" applyBorder="1" applyAlignment="1" applyProtection="1">
      <alignment horizontal="center" vertical="center"/>
    </xf>
    <xf numFmtId="0" fontId="11" fillId="24" borderId="29" xfId="66" applyFont="1" applyFill="1" applyBorder="1" applyAlignment="1" applyProtection="1">
      <alignment horizontal="center" vertical="center"/>
    </xf>
    <xf numFmtId="0" fontId="11" fillId="24" borderId="116" xfId="66" applyFont="1" applyFill="1" applyBorder="1" applyAlignment="1" applyProtection="1">
      <alignment horizontal="center" vertical="center"/>
    </xf>
    <xf numFmtId="0" fontId="11" fillId="24" borderId="223" xfId="66" applyFont="1" applyFill="1" applyBorder="1" applyAlignment="1" applyProtection="1">
      <alignment horizontal="center" vertical="center"/>
    </xf>
    <xf numFmtId="0" fontId="10" fillId="24" borderId="118" xfId="0" applyFont="1" applyFill="1"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center" vertical="center"/>
    </xf>
    <xf numFmtId="170" fontId="10" fillId="35" borderId="112" xfId="0" applyNumberFormat="1" applyFont="1" applyFill="1" applyBorder="1" applyAlignment="1">
      <alignment horizontal="left" vertical="center" wrapText="1"/>
    </xf>
    <xf numFmtId="170" fontId="10" fillId="35" borderId="0" xfId="0" applyNumberFormat="1" applyFont="1" applyFill="1" applyBorder="1" applyAlignment="1">
      <alignment horizontal="center" vertical="center" wrapText="1"/>
    </xf>
    <xf numFmtId="0" fontId="10" fillId="24" borderId="108" xfId="0" applyFont="1" applyFill="1" applyBorder="1" applyAlignment="1">
      <alignment horizontal="center" vertical="center"/>
    </xf>
    <xf numFmtId="0" fontId="10" fillId="24" borderId="109" xfId="0" applyFont="1" applyFill="1" applyBorder="1" applyAlignment="1">
      <alignment horizontal="center" vertical="center"/>
    </xf>
    <xf numFmtId="0" fontId="10" fillId="24" borderId="0" xfId="0" applyFont="1" applyFill="1" applyBorder="1" applyAlignment="1">
      <alignment horizontal="left" vertical="center" wrapText="1"/>
    </xf>
    <xf numFmtId="0" fontId="10" fillId="24" borderId="114" xfId="0" applyFont="1" applyFill="1" applyBorder="1" applyAlignment="1">
      <alignment horizontal="left" vertical="center" wrapText="1"/>
    </xf>
    <xf numFmtId="0" fontId="10" fillId="24" borderId="115" xfId="0" quotePrefix="1" applyFont="1" applyFill="1" applyBorder="1" applyAlignment="1">
      <alignment horizontal="left" vertical="center" wrapText="1"/>
    </xf>
    <xf numFmtId="0" fontId="10" fillId="24" borderId="0" xfId="0" quotePrefix="1" applyFont="1" applyFill="1" applyBorder="1" applyAlignment="1">
      <alignment horizontal="left" vertical="center" wrapText="1"/>
    </xf>
    <xf numFmtId="0" fontId="46" fillId="24" borderId="119" xfId="0" applyFont="1" applyFill="1" applyBorder="1" applyAlignment="1">
      <alignment horizontal="left" vertical="center" wrapText="1"/>
    </xf>
    <xf numFmtId="0" fontId="46" fillId="24" borderId="116" xfId="0" applyFont="1" applyFill="1" applyBorder="1" applyAlignment="1">
      <alignment horizontal="left" vertical="center" wrapText="1"/>
    </xf>
    <xf numFmtId="1" fontId="0" fillId="73" borderId="0" xfId="104" applyNumberFormat="1" applyFont="1" applyFill="1" applyBorder="1" applyAlignment="1">
      <alignment horizontal="left" vertical="center" wrapText="1"/>
    </xf>
    <xf numFmtId="0" fontId="155" fillId="24" borderId="100" xfId="104" applyFont="1" applyFill="1" applyBorder="1" applyAlignment="1">
      <alignment horizontal="center" vertical="center"/>
    </xf>
    <xf numFmtId="0" fontId="173" fillId="27" borderId="229" xfId="104" applyFont="1" applyFill="1" applyBorder="1" applyAlignment="1">
      <alignment horizontal="left" vertical="center"/>
    </xf>
    <xf numFmtId="0" fontId="173" fillId="27" borderId="228" xfId="104" applyFont="1" applyFill="1" applyBorder="1" applyAlignment="1">
      <alignment horizontal="left" vertical="center"/>
    </xf>
    <xf numFmtId="0" fontId="8" fillId="73" borderId="196" xfId="104" applyFont="1" applyFill="1" applyBorder="1" applyAlignment="1">
      <alignment horizontal="center" vertical="center" wrapText="1"/>
    </xf>
    <xf numFmtId="0" fontId="8" fillId="73" borderId="195" xfId="104" applyFont="1" applyFill="1" applyBorder="1" applyAlignment="1">
      <alignment horizontal="center" vertical="center" wrapText="1"/>
    </xf>
    <xf numFmtId="170" fontId="155" fillId="73" borderId="11" xfId="104" applyNumberFormat="1" applyFont="1" applyFill="1" applyBorder="1" applyAlignment="1">
      <alignment horizontal="left" vertical="center" wrapText="1"/>
    </xf>
    <xf numFmtId="0" fontId="8" fillId="73" borderId="240" xfId="104" applyFont="1" applyFill="1" applyBorder="1" applyAlignment="1">
      <alignment horizontal="right" vertical="center"/>
    </xf>
    <xf numFmtId="0" fontId="8" fillId="73" borderId="13" xfId="104" applyFont="1" applyFill="1" applyBorder="1" applyAlignment="1">
      <alignment horizontal="right" vertical="center"/>
    </xf>
    <xf numFmtId="0" fontId="0" fillId="24" borderId="19" xfId="104" quotePrefix="1" applyFont="1" applyFill="1" applyBorder="1" applyAlignment="1">
      <alignment horizontal="left" vertical="center" wrapText="1"/>
    </xf>
    <xf numFmtId="0" fontId="155" fillId="24" borderId="111" xfId="104" applyFont="1" applyFill="1" applyBorder="1" applyAlignment="1">
      <alignment horizontal="center" vertical="center"/>
    </xf>
    <xf numFmtId="0" fontId="155" fillId="24" borderId="112" xfId="104" applyFont="1" applyFill="1" applyBorder="1" applyAlignment="1">
      <alignment horizontal="center" vertical="center"/>
    </xf>
    <xf numFmtId="0" fontId="155" fillId="24" borderId="113" xfId="104" applyFont="1" applyFill="1" applyBorder="1" applyAlignment="1">
      <alignment horizontal="center" vertical="center"/>
    </xf>
    <xf numFmtId="1" fontId="196" fillId="70" borderId="256" xfId="119" applyNumberFormat="1" applyFont="1" applyFill="1" applyBorder="1" applyAlignment="1" applyProtection="1">
      <alignment horizontal="center"/>
      <protection locked="0"/>
    </xf>
    <xf numFmtId="1" fontId="190" fillId="70" borderId="258" xfId="119" applyNumberFormat="1" applyFill="1" applyBorder="1" applyAlignment="1" applyProtection="1">
      <alignment horizontal="center"/>
      <protection locked="0"/>
    </xf>
    <xf numFmtId="0" fontId="190" fillId="75" borderId="0" xfId="119" applyFont="1" applyFill="1" applyBorder="1" applyAlignment="1" applyProtection="1">
      <alignment horizontal="center"/>
      <protection locked="0"/>
    </xf>
    <xf numFmtId="1" fontId="196" fillId="70" borderId="245" xfId="119" applyNumberFormat="1" applyFont="1" applyFill="1" applyBorder="1" applyAlignment="1" applyProtection="1">
      <alignment horizontal="center"/>
      <protection locked="0"/>
    </xf>
    <xf numFmtId="1" fontId="196" fillId="70" borderId="246" xfId="119" applyNumberFormat="1" applyFont="1" applyFill="1" applyBorder="1" applyAlignment="1" applyProtection="1">
      <alignment horizontal="center"/>
      <protection locked="0"/>
    </xf>
    <xf numFmtId="1" fontId="196" fillId="70" borderId="249" xfId="119" applyNumberFormat="1" applyFont="1" applyFill="1" applyBorder="1" applyAlignment="1" applyProtection="1">
      <alignment horizontal="center"/>
      <protection locked="0"/>
    </xf>
    <xf numFmtId="1" fontId="196" fillId="70" borderId="250" xfId="119" applyNumberFormat="1" applyFont="1" applyFill="1" applyBorder="1" applyAlignment="1" applyProtection="1">
      <alignment horizontal="center"/>
      <protection locked="0"/>
    </xf>
    <xf numFmtId="1" fontId="190" fillId="70" borderId="250" xfId="119" applyNumberFormat="1" applyFill="1" applyBorder="1" applyAlignment="1" applyProtection="1">
      <alignment horizontal="center"/>
      <protection locked="0"/>
    </xf>
    <xf numFmtId="0" fontId="8" fillId="24" borderId="0" xfId="0" applyFont="1" applyFill="1" applyBorder="1" applyAlignment="1">
      <alignment horizontal="center"/>
    </xf>
    <xf numFmtId="0" fontId="8" fillId="24" borderId="10" xfId="0" applyFont="1" applyFill="1" applyBorder="1" applyAlignment="1">
      <alignment horizontal="center"/>
    </xf>
    <xf numFmtId="0" fontId="31" fillId="28" borderId="80" xfId="0" applyFont="1" applyFill="1" applyBorder="1" applyAlignment="1">
      <alignment horizontal="left" vertical="center"/>
    </xf>
    <xf numFmtId="0" fontId="31" fillId="28" borderId="162" xfId="0" applyFont="1" applyFill="1" applyBorder="1" applyAlignment="1">
      <alignment horizontal="left" vertical="center"/>
    </xf>
    <xf numFmtId="0" fontId="31" fillId="28" borderId="55" xfId="0" applyFont="1" applyFill="1" applyBorder="1" applyAlignment="1">
      <alignment horizontal="left" vertical="center"/>
    </xf>
    <xf numFmtId="0" fontId="155" fillId="24" borderId="9" xfId="0" applyFont="1" applyFill="1" applyBorder="1" applyAlignment="1">
      <alignment horizontal="right" vertical="top" wrapText="1"/>
    </xf>
    <xf numFmtId="0" fontId="155" fillId="24" borderId="0" xfId="0" applyFont="1" applyFill="1" applyBorder="1" applyAlignment="1">
      <alignment horizontal="right" vertical="top" wrapText="1"/>
    </xf>
    <xf numFmtId="0" fontId="0" fillId="24" borderId="0" xfId="0" applyFill="1" applyBorder="1" applyAlignment="1">
      <alignment vertical="top" wrapText="1"/>
    </xf>
    <xf numFmtId="0" fontId="0" fillId="24" borderId="10" xfId="0" applyFill="1" applyBorder="1" applyAlignment="1">
      <alignment vertical="top" wrapText="1"/>
    </xf>
    <xf numFmtId="0" fontId="29" fillId="28" borderId="11" xfId="0" applyFont="1" applyFill="1" applyBorder="1" applyAlignment="1">
      <alignment horizontal="center"/>
    </xf>
    <xf numFmtId="0" fontId="29" fillId="28" borderId="12" xfId="0" applyFont="1" applyFill="1" applyBorder="1" applyAlignment="1">
      <alignment horizontal="center"/>
    </xf>
    <xf numFmtId="0" fontId="29" fillId="28" borderId="14" xfId="0" applyFont="1" applyFill="1" applyBorder="1" applyAlignment="1">
      <alignment horizontal="center"/>
    </xf>
    <xf numFmtId="0" fontId="8" fillId="24" borderId="9" xfId="0" applyFont="1" applyFill="1" applyBorder="1" applyAlignment="1">
      <alignment horizontal="center"/>
    </xf>
    <xf numFmtId="0" fontId="8" fillId="23" borderId="9" xfId="0" applyFont="1" applyFill="1" applyBorder="1" applyAlignment="1">
      <alignment horizontal="center"/>
    </xf>
    <xf numFmtId="0" fontId="8" fillId="23" borderId="0" xfId="0" applyFont="1" applyFill="1" applyBorder="1" applyAlignment="1">
      <alignment horizontal="center"/>
    </xf>
    <xf numFmtId="0" fontId="8" fillId="23" borderId="10" xfId="0" applyFont="1" applyFill="1" applyBorder="1" applyAlignment="1">
      <alignment horizontal="center"/>
    </xf>
    <xf numFmtId="0" fontId="155" fillId="23" borderId="11" xfId="0" applyFont="1" applyFill="1" applyBorder="1" applyAlignment="1">
      <alignment horizontal="center"/>
    </xf>
    <xf numFmtId="0" fontId="155" fillId="23" borderId="12" xfId="0" applyFont="1" applyFill="1" applyBorder="1" applyAlignment="1">
      <alignment horizontal="center"/>
    </xf>
    <xf numFmtId="0" fontId="155" fillId="23" borderId="14" xfId="0" applyFont="1" applyFill="1" applyBorder="1" applyAlignment="1">
      <alignment horizontal="center"/>
    </xf>
    <xf numFmtId="0" fontId="157" fillId="24" borderId="197" xfId="0" applyFont="1" applyFill="1" applyBorder="1" applyAlignment="1">
      <alignment horizontal="left" vertical="center"/>
    </xf>
    <xf numFmtId="0" fontId="157" fillId="24" borderId="12" xfId="0" applyFont="1" applyFill="1" applyBorder="1" applyAlignment="1">
      <alignment horizontal="left" vertical="center"/>
    </xf>
    <xf numFmtId="0" fontId="157" fillId="24" borderId="14" xfId="0" applyFont="1" applyFill="1" applyBorder="1" applyAlignment="1">
      <alignment horizontal="left" vertical="center"/>
    </xf>
    <xf numFmtId="0" fontId="51" fillId="72" borderId="175" xfId="0" applyFont="1" applyFill="1" applyBorder="1" applyAlignment="1">
      <alignment horizontal="center" vertical="center" wrapText="1"/>
    </xf>
    <xf numFmtId="9" fontId="8" fillId="23" borderId="181" xfId="68" quotePrefix="1" applyNumberFormat="1" applyFont="1" applyFill="1" applyBorder="1" applyAlignment="1">
      <alignment horizontal="center"/>
    </xf>
    <xf numFmtId="9" fontId="8" fillId="23" borderId="182" xfId="68" quotePrefix="1" applyNumberFormat="1" applyFont="1" applyFill="1" applyBorder="1" applyAlignment="1">
      <alignment horizontal="center"/>
    </xf>
    <xf numFmtId="0" fontId="29" fillId="28" borderId="186" xfId="0" applyFont="1" applyFill="1" applyBorder="1" applyAlignment="1">
      <alignment horizontal="center"/>
    </xf>
    <xf numFmtId="0" fontId="29" fillId="28" borderId="187" xfId="0" applyFont="1" applyFill="1" applyBorder="1" applyAlignment="1">
      <alignment horizontal="center"/>
    </xf>
    <xf numFmtId="0" fontId="8" fillId="24" borderId="175" xfId="0" applyFont="1" applyFill="1" applyBorder="1" applyAlignment="1">
      <alignment horizontal="center" vertical="center" wrapText="1"/>
    </xf>
    <xf numFmtId="0" fontId="8" fillId="24" borderId="100" xfId="0" applyFont="1" applyFill="1" applyBorder="1" applyAlignment="1">
      <alignment horizontal="center" vertical="center" wrapText="1"/>
    </xf>
    <xf numFmtId="0" fontId="8" fillId="24" borderId="176" xfId="0" applyFont="1" applyFill="1" applyBorder="1" applyAlignment="1">
      <alignment horizontal="center" vertical="center" wrapText="1"/>
    </xf>
    <xf numFmtId="0" fontId="32" fillId="29" borderId="181" xfId="0" applyFont="1" applyFill="1" applyBorder="1" applyAlignment="1">
      <alignment horizontal="center"/>
    </xf>
    <xf numFmtId="0" fontId="32" fillId="29" borderId="189" xfId="0" applyFont="1" applyFill="1" applyBorder="1" applyAlignment="1">
      <alignment horizontal="center"/>
    </xf>
    <xf numFmtId="0" fontId="32" fillId="29" borderId="190" xfId="0" applyFont="1" applyFill="1" applyBorder="1" applyAlignment="1">
      <alignment horizontal="center"/>
    </xf>
    <xf numFmtId="0" fontId="155" fillId="24" borderId="183" xfId="0" applyFont="1" applyFill="1" applyBorder="1" applyAlignment="1">
      <alignment horizontal="center" vertical="center"/>
    </xf>
    <xf numFmtId="0" fontId="10" fillId="24" borderId="183" xfId="0" applyFont="1" applyFill="1" applyBorder="1" applyAlignment="1">
      <alignment horizontal="center" vertical="center"/>
    </xf>
    <xf numFmtId="0" fontId="29" fillId="28" borderId="188" xfId="0" applyFont="1" applyFill="1" applyBorder="1" applyAlignment="1">
      <alignment horizontal="center"/>
    </xf>
    <xf numFmtId="0" fontId="0" fillId="30" borderId="41" xfId="0" applyFill="1" applyBorder="1" applyAlignment="1">
      <alignment horizontal="center"/>
    </xf>
    <xf numFmtId="0" fontId="0" fillId="30" borderId="180" xfId="0" applyFill="1" applyBorder="1" applyAlignment="1">
      <alignment horizontal="center"/>
    </xf>
    <xf numFmtId="0" fontId="0" fillId="30" borderId="175" xfId="0" applyFill="1" applyBorder="1" applyAlignment="1">
      <alignment horizontal="center" wrapText="1"/>
    </xf>
    <xf numFmtId="0" fontId="0" fillId="30" borderId="176" xfId="0" applyFill="1" applyBorder="1" applyAlignment="1">
      <alignment horizontal="center" wrapText="1"/>
    </xf>
    <xf numFmtId="0" fontId="186" fillId="24" borderId="0" xfId="0" applyFont="1" applyFill="1" applyBorder="1" applyAlignment="1">
      <alignment vertical="top" wrapText="1"/>
    </xf>
    <xf numFmtId="0" fontId="186" fillId="24" borderId="0" xfId="0" applyFont="1" applyFill="1" applyBorder="1" applyAlignment="1">
      <alignment horizontal="left" vertical="top" wrapText="1"/>
    </xf>
    <xf numFmtId="0" fontId="10" fillId="24" borderId="0" xfId="0" applyFont="1" applyFill="1" applyBorder="1" applyAlignment="1">
      <alignment horizontal="left" vertical="top" wrapText="1"/>
    </xf>
    <xf numFmtId="0" fontId="10" fillId="24" borderId="10" xfId="0" applyFont="1" applyFill="1" applyBorder="1" applyAlignment="1">
      <alignment horizontal="left" vertical="top" wrapText="1"/>
    </xf>
    <xf numFmtId="0" fontId="32" fillId="72" borderId="40" xfId="0" applyFont="1" applyFill="1" applyBorder="1" applyAlignment="1">
      <alignment horizontal="center" vertical="center" wrapText="1"/>
    </xf>
    <xf numFmtId="0" fontId="32" fillId="72" borderId="184" xfId="0" applyFont="1" applyFill="1" applyBorder="1" applyAlignment="1">
      <alignment horizontal="center" vertical="center" wrapText="1"/>
    </xf>
    <xf numFmtId="0" fontId="31" fillId="28" borderId="17" xfId="0" applyFont="1" applyFill="1" applyBorder="1" applyAlignment="1">
      <alignment horizontal="center"/>
    </xf>
    <xf numFmtId="0" fontId="31" fillId="28" borderId="36" xfId="0" applyFont="1" applyFill="1" applyBorder="1" applyAlignment="1">
      <alignment horizontal="center"/>
    </xf>
    <xf numFmtId="0" fontId="31" fillId="28" borderId="18" xfId="0" applyFont="1" applyFill="1" applyBorder="1" applyAlignment="1">
      <alignment horizontal="center"/>
    </xf>
    <xf numFmtId="0" fontId="0" fillId="30" borderId="21" xfId="0" applyFill="1" applyBorder="1" applyAlignment="1">
      <alignment horizontal="center" vertical="center"/>
    </xf>
    <xf numFmtId="0" fontId="0" fillId="30" borderId="30" xfId="0" applyFill="1" applyBorder="1" applyAlignment="1">
      <alignment horizontal="center" vertical="center"/>
    </xf>
    <xf numFmtId="0" fontId="8" fillId="24" borderId="9" xfId="0" applyFont="1" applyFill="1" applyBorder="1" applyAlignment="1">
      <alignment horizontal="center" vertical="center"/>
    </xf>
    <xf numFmtId="0" fontId="8" fillId="24" borderId="0" xfId="0" applyFont="1" applyFill="1" applyBorder="1" applyAlignment="1">
      <alignment horizontal="center" vertical="center"/>
    </xf>
    <xf numFmtId="0" fontId="8" fillId="24" borderId="10" xfId="0" applyFont="1" applyFill="1" applyBorder="1" applyAlignment="1">
      <alignment horizontal="center" vertical="center"/>
    </xf>
    <xf numFmtId="0" fontId="29" fillId="28" borderId="23" xfId="0" applyFont="1" applyFill="1" applyBorder="1" applyAlignment="1">
      <alignment horizontal="center"/>
    </xf>
    <xf numFmtId="0" fontId="29" fillId="28" borderId="24" xfId="0" applyFont="1" applyFill="1" applyBorder="1" applyAlignment="1">
      <alignment horizontal="center"/>
    </xf>
    <xf numFmtId="0" fontId="29" fillId="28" borderId="25" xfId="0" applyFont="1" applyFill="1" applyBorder="1" applyAlignment="1">
      <alignment horizontal="center"/>
    </xf>
    <xf numFmtId="0" fontId="32" fillId="28" borderId="11" xfId="0" applyFont="1" applyFill="1" applyBorder="1" applyAlignment="1">
      <alignment horizontal="center" vertical="center"/>
    </xf>
    <xf numFmtId="0" fontId="32" fillId="28" borderId="12" xfId="0" applyFont="1" applyFill="1" applyBorder="1" applyAlignment="1">
      <alignment horizontal="center" vertical="center"/>
    </xf>
    <xf numFmtId="0" fontId="32" fillId="28" borderId="14" xfId="0" applyFont="1" applyFill="1" applyBorder="1" applyAlignment="1">
      <alignment horizontal="center" vertical="center"/>
    </xf>
    <xf numFmtId="0" fontId="32" fillId="28" borderId="9" xfId="0" applyFont="1" applyFill="1" applyBorder="1" applyAlignment="1">
      <alignment horizontal="center" vertical="center"/>
    </xf>
    <xf numFmtId="0" fontId="32" fillId="28" borderId="0" xfId="0" applyFont="1" applyFill="1" applyBorder="1" applyAlignment="1">
      <alignment horizontal="center" vertical="center"/>
    </xf>
    <xf numFmtId="0" fontId="32" fillId="28" borderId="10" xfId="0" applyFont="1" applyFill="1" applyBorder="1" applyAlignment="1">
      <alignment horizontal="center" vertical="center"/>
    </xf>
    <xf numFmtId="0" fontId="156" fillId="28" borderId="12" xfId="0" applyFont="1" applyFill="1" applyBorder="1" applyAlignment="1">
      <alignment horizontal="center" vertical="center"/>
    </xf>
    <xf numFmtId="0" fontId="156" fillId="28" borderId="14" xfId="0" applyFont="1" applyFill="1" applyBorder="1" applyAlignment="1">
      <alignment horizontal="center" vertical="center"/>
    </xf>
    <xf numFmtId="0" fontId="156" fillId="28" borderId="0" xfId="0" applyFont="1" applyFill="1" applyBorder="1" applyAlignment="1">
      <alignment horizontal="center" vertical="center"/>
    </xf>
    <xf numFmtId="0" fontId="156" fillId="28" borderId="10" xfId="0" applyFont="1" applyFill="1" applyBorder="1" applyAlignment="1">
      <alignment horizontal="center" vertical="center"/>
    </xf>
    <xf numFmtId="0" fontId="29" fillId="28" borderId="40" xfId="0" applyFont="1" applyFill="1" applyBorder="1" applyAlignment="1">
      <alignment horizontal="center" vertical="center" wrapText="1"/>
    </xf>
    <xf numFmtId="0" fontId="29" fillId="28" borderId="184" xfId="0" applyFont="1" applyFill="1" applyBorder="1" applyAlignment="1">
      <alignment horizontal="center" vertical="center" wrapText="1"/>
    </xf>
    <xf numFmtId="2" fontId="32" fillId="28" borderId="15" xfId="0" applyNumberFormat="1" applyFont="1" applyFill="1" applyBorder="1" applyAlignment="1">
      <alignment horizontal="right" vertical="center"/>
    </xf>
    <xf numFmtId="2" fontId="32" fillId="28" borderId="13" xfId="0" applyNumberFormat="1" applyFont="1" applyFill="1" applyBorder="1" applyAlignment="1">
      <alignment horizontal="right" vertical="center"/>
    </xf>
    <xf numFmtId="0" fontId="32" fillId="72" borderId="15" xfId="0" applyFont="1" applyFill="1" applyBorder="1" applyAlignment="1">
      <alignment horizontal="center" vertical="center" wrapText="1"/>
    </xf>
    <xf numFmtId="0" fontId="32" fillId="72" borderId="16" xfId="0" applyFont="1" applyFill="1" applyBorder="1" applyAlignment="1">
      <alignment horizontal="center" vertical="center" wrapText="1"/>
    </xf>
    <xf numFmtId="0" fontId="32" fillId="72" borderId="100" xfId="0" applyFont="1" applyFill="1" applyBorder="1" applyAlignment="1">
      <alignment horizontal="center" vertical="center" wrapText="1"/>
    </xf>
    <xf numFmtId="0" fontId="31" fillId="72" borderId="100" xfId="0" applyFont="1" applyFill="1" applyBorder="1" applyAlignment="1">
      <alignment horizontal="center" vertical="center"/>
    </xf>
    <xf numFmtId="0" fontId="155" fillId="0" borderId="16" xfId="0" applyFont="1" applyBorder="1" applyAlignment="1">
      <alignment wrapText="1"/>
    </xf>
    <xf numFmtId="0" fontId="29" fillId="28" borderId="186" xfId="0" applyFont="1" applyFill="1" applyBorder="1" applyAlignment="1">
      <alignment horizontal="left"/>
    </xf>
    <xf numFmtId="0" fontId="29" fillId="28" borderId="188" xfId="0" applyFont="1" applyFill="1" applyBorder="1" applyAlignment="1">
      <alignment horizontal="left"/>
    </xf>
    <xf numFmtId="0" fontId="29" fillId="28" borderId="195" xfId="0" applyFont="1" applyFill="1" applyBorder="1" applyAlignment="1">
      <alignment horizontal="left"/>
    </xf>
    <xf numFmtId="0" fontId="29" fillId="28" borderId="196" xfId="0" applyFont="1" applyFill="1" applyBorder="1" applyAlignment="1">
      <alignment horizontal="center"/>
    </xf>
    <xf numFmtId="0" fontId="157" fillId="24" borderId="11" xfId="0" applyFont="1" applyFill="1" applyBorder="1" applyAlignment="1">
      <alignment horizontal="left" vertical="center"/>
    </xf>
    <xf numFmtId="0" fontId="157" fillId="24" borderId="192" xfId="0" applyFont="1" applyFill="1" applyBorder="1" applyAlignment="1">
      <alignment horizontal="left" vertical="center"/>
    </xf>
    <xf numFmtId="0" fontId="0" fillId="23" borderId="25" xfId="0" applyFill="1" applyBorder="1" applyAlignment="1">
      <alignment horizontal="left"/>
    </xf>
    <xf numFmtId="0" fontId="0" fillId="23" borderId="191" xfId="0" applyFill="1" applyBorder="1" applyAlignment="1">
      <alignment horizontal="left"/>
    </xf>
    <xf numFmtId="0" fontId="157" fillId="24" borderId="9" xfId="0" applyFont="1" applyFill="1" applyBorder="1" applyAlignment="1">
      <alignment horizontal="left"/>
    </xf>
    <xf numFmtId="0" fontId="157" fillId="24" borderId="0" xfId="0" applyFont="1" applyFill="1" applyBorder="1" applyAlignment="1">
      <alignment horizontal="left"/>
    </xf>
    <xf numFmtId="0" fontId="157" fillId="24" borderId="10" xfId="0" applyFont="1" applyFill="1" applyBorder="1" applyAlignment="1">
      <alignment horizontal="left"/>
    </xf>
    <xf numFmtId="0" fontId="8" fillId="24" borderId="15" xfId="0" applyFont="1" applyFill="1" applyBorder="1" applyAlignment="1">
      <alignment horizontal="left" vertical="center"/>
    </xf>
    <xf numFmtId="0" fontId="8" fillId="24" borderId="16" xfId="0" applyFont="1" applyFill="1" applyBorder="1" applyAlignment="1">
      <alignment horizontal="left" vertical="center"/>
    </xf>
    <xf numFmtId="0" fontId="8" fillId="24" borderId="13" xfId="0" applyFont="1" applyFill="1" applyBorder="1" applyAlignment="1">
      <alignment horizontal="left" vertical="center"/>
    </xf>
    <xf numFmtId="0" fontId="59" fillId="25" borderId="15" xfId="0" applyFont="1" applyFill="1" applyBorder="1" applyAlignment="1">
      <alignment horizontal="right" vertical="center"/>
    </xf>
    <xf numFmtId="0" fontId="59" fillId="25" borderId="13" xfId="0" applyFont="1" applyFill="1" applyBorder="1" applyAlignment="1">
      <alignment horizontal="right" vertical="center"/>
    </xf>
    <xf numFmtId="0" fontId="8" fillId="24" borderId="9" xfId="0" applyFont="1" applyFill="1" applyBorder="1" applyAlignment="1">
      <alignment horizontal="left"/>
    </xf>
    <xf numFmtId="0" fontId="8" fillId="24" borderId="10" xfId="0" applyFont="1" applyFill="1" applyBorder="1" applyAlignment="1">
      <alignment horizontal="left"/>
    </xf>
    <xf numFmtId="0" fontId="29" fillId="28" borderId="9" xfId="0" applyFont="1" applyFill="1" applyBorder="1" applyAlignment="1">
      <alignment horizontal="center"/>
    </xf>
    <xf numFmtId="0" fontId="29" fillId="28" borderId="0" xfId="0" applyFont="1" applyFill="1" applyBorder="1" applyAlignment="1">
      <alignment horizontal="center"/>
    </xf>
    <xf numFmtId="0" fontId="155" fillId="24" borderId="0" xfId="112" applyFill="1" applyBorder="1" applyAlignment="1">
      <alignment vertical="top" wrapText="1"/>
    </xf>
    <xf numFmtId="0" fontId="155" fillId="24" borderId="10" xfId="112" applyFill="1" applyBorder="1" applyAlignment="1">
      <alignment vertical="top" wrapText="1"/>
    </xf>
    <xf numFmtId="0" fontId="155" fillId="24" borderId="0" xfId="112" applyFont="1" applyFill="1" applyBorder="1" applyAlignment="1">
      <alignment horizontal="left" vertical="top" wrapText="1"/>
    </xf>
    <xf numFmtId="0" fontId="155" fillId="24" borderId="10" xfId="112" applyFont="1" applyFill="1" applyBorder="1" applyAlignment="1">
      <alignment horizontal="left" vertical="top" wrapText="1"/>
    </xf>
    <xf numFmtId="0" fontId="155" fillId="0" borderId="0" xfId="108" applyFill="1" applyBorder="1" applyAlignment="1">
      <alignment vertical="top" wrapText="1"/>
    </xf>
    <xf numFmtId="0" fontId="155" fillId="0" borderId="0" xfId="108" applyFont="1" applyFill="1" applyBorder="1" applyAlignment="1">
      <alignment horizontal="left" vertical="top" wrapText="1"/>
    </xf>
    <xf numFmtId="0" fontId="81" fillId="72" borderId="12" xfId="108" applyFont="1" applyFill="1" applyBorder="1" applyAlignment="1">
      <alignment horizontal="left" vertical="center"/>
    </xf>
    <xf numFmtId="0" fontId="128" fillId="0" borderId="0" xfId="108" applyFont="1" applyFill="1" applyBorder="1" applyAlignment="1">
      <alignment horizontal="left"/>
    </xf>
    <xf numFmtId="0" fontId="128" fillId="0" borderId="25" xfId="108" applyFont="1" applyFill="1" applyBorder="1" applyAlignment="1">
      <alignment horizontal="left"/>
    </xf>
    <xf numFmtId="0" fontId="128" fillId="0" borderId="23" xfId="108" applyFont="1" applyFill="1" applyBorder="1" applyAlignment="1">
      <alignment horizontal="left"/>
    </xf>
    <xf numFmtId="0" fontId="128" fillId="0" borderId="24" xfId="108" applyFont="1" applyFill="1" applyBorder="1" applyAlignment="1">
      <alignment horizontal="left"/>
    </xf>
    <xf numFmtId="166" fontId="36" fillId="0" borderId="165" xfId="108" applyNumberFormat="1" applyFont="1" applyFill="1" applyBorder="1" applyAlignment="1">
      <alignment horizontal="center" vertical="center"/>
    </xf>
    <xf numFmtId="166" fontId="36" fillId="0" borderId="18" xfId="108" applyNumberFormat="1" applyFont="1" applyFill="1" applyBorder="1" applyAlignment="1">
      <alignment horizontal="center" vertical="center"/>
    </xf>
    <xf numFmtId="166" fontId="36" fillId="0" borderId="165" xfId="108" applyNumberFormat="1" applyFont="1" applyFill="1" applyBorder="1" applyAlignment="1">
      <alignment horizontal="center" vertical="center" wrapText="1"/>
    </xf>
    <xf numFmtId="166" fontId="36" fillId="0" borderId="18" xfId="108" applyNumberFormat="1" applyFont="1" applyFill="1" applyBorder="1" applyAlignment="1">
      <alignment horizontal="center" vertical="center" wrapText="1"/>
    </xf>
    <xf numFmtId="166" fontId="36" fillId="0" borderId="36" xfId="108" applyNumberFormat="1" applyFont="1" applyFill="1" applyBorder="1" applyAlignment="1">
      <alignment horizontal="center" vertical="center" wrapText="1"/>
    </xf>
    <xf numFmtId="0" fontId="179" fillId="0" borderId="11" xfId="108" applyFont="1" applyFill="1" applyBorder="1" applyAlignment="1">
      <alignment horizontal="center" wrapText="1"/>
    </xf>
    <xf numFmtId="0" fontId="179" fillId="0" borderId="12" xfId="108" applyFont="1" applyFill="1" applyBorder="1" applyAlignment="1">
      <alignment horizontal="center" wrapText="1"/>
    </xf>
    <xf numFmtId="0" fontId="179" fillId="0" borderId="14" xfId="108" applyFont="1" applyFill="1" applyBorder="1" applyAlignment="1">
      <alignment horizontal="center" wrapText="1"/>
    </xf>
    <xf numFmtId="0" fontId="179" fillId="0" borderId="20" xfId="108" applyFont="1" applyFill="1" applyBorder="1" applyAlignment="1">
      <alignment horizontal="center" wrapText="1"/>
    </xf>
    <xf numFmtId="0" fontId="179" fillId="0" borderId="21" xfId="108" applyFont="1" applyFill="1" applyBorder="1" applyAlignment="1">
      <alignment horizontal="center" wrapText="1"/>
    </xf>
    <xf numFmtId="0" fontId="179" fillId="0" borderId="22" xfId="108" applyFont="1" applyFill="1" applyBorder="1" applyAlignment="1">
      <alignment horizontal="center" wrapText="1"/>
    </xf>
    <xf numFmtId="0" fontId="175" fillId="0" borderId="80" xfId="104" applyFont="1" applyFill="1" applyBorder="1" applyAlignment="1">
      <alignment horizontal="center" vertical="center" wrapText="1"/>
    </xf>
    <xf numFmtId="0" fontId="175" fillId="0" borderId="162" xfId="104" applyFont="1" applyFill="1" applyBorder="1" applyAlignment="1">
      <alignment horizontal="center" vertical="center" wrapText="1"/>
    </xf>
    <xf numFmtId="0" fontId="175" fillId="0" borderId="55" xfId="104" applyFont="1" applyFill="1" applyBorder="1" applyAlignment="1">
      <alignment horizontal="center" vertical="center" wrapText="1"/>
    </xf>
    <xf numFmtId="0" fontId="175" fillId="0" borderId="40" xfId="104" applyFont="1" applyFill="1" applyBorder="1" applyAlignment="1">
      <alignment vertical="center" wrapText="1"/>
    </xf>
    <xf numFmtId="0" fontId="175" fillId="0" borderId="63" xfId="104" applyFont="1" applyFill="1" applyBorder="1" applyAlignment="1">
      <alignment vertical="center" wrapText="1"/>
    </xf>
    <xf numFmtId="0" fontId="10" fillId="0" borderId="0" xfId="54" applyFill="1" applyBorder="1" applyAlignment="1">
      <alignment vertical="top" wrapText="1"/>
    </xf>
    <xf numFmtId="0" fontId="10" fillId="0" borderId="0" xfId="54" applyFont="1" applyFill="1" applyBorder="1" applyAlignment="1">
      <alignment horizontal="left" vertical="top" wrapText="1"/>
    </xf>
    <xf numFmtId="0" fontId="135" fillId="0" borderId="80" xfId="0" applyFont="1" applyBorder="1" applyAlignment="1">
      <alignment horizontal="center" vertical="center" wrapText="1"/>
    </xf>
    <xf numFmtId="0" fontId="135" fillId="0" borderId="162" xfId="0" applyFont="1" applyBorder="1" applyAlignment="1">
      <alignment horizontal="center" vertical="center" wrapText="1"/>
    </xf>
    <xf numFmtId="0" fontId="135" fillId="0" borderId="55" xfId="0" applyFont="1" applyBorder="1" applyAlignment="1">
      <alignment horizontal="center" vertical="center" wrapText="1"/>
    </xf>
    <xf numFmtId="0" fontId="135" fillId="0" borderId="40" xfId="0" applyFont="1" applyBorder="1" applyAlignment="1">
      <alignment vertical="center" wrapText="1"/>
    </xf>
    <xf numFmtId="0" fontId="135" fillId="0" borderId="63" xfId="0" applyFont="1" applyBorder="1" applyAlignment="1">
      <alignment vertical="center" wrapText="1"/>
    </xf>
    <xf numFmtId="0" fontId="29" fillId="28" borderId="11" xfId="0" applyFont="1" applyFill="1" applyBorder="1" applyAlignment="1">
      <alignment horizontal="left" vertical="center"/>
    </xf>
    <xf numFmtId="0" fontId="29" fillId="28" borderId="9" xfId="0" applyFont="1" applyFill="1" applyBorder="1" applyAlignment="1">
      <alignment horizontal="left" vertical="center"/>
    </xf>
    <xf numFmtId="0" fontId="29" fillId="28" borderId="12" xfId="0" applyFont="1" applyFill="1" applyBorder="1" applyAlignment="1">
      <alignment horizontal="center" vertical="center"/>
    </xf>
    <xf numFmtId="0" fontId="29" fillId="28" borderId="0" xfId="0" applyFont="1" applyFill="1" applyBorder="1" applyAlignment="1">
      <alignment horizontal="center" vertical="center"/>
    </xf>
    <xf numFmtId="2" fontId="32" fillId="28" borderId="14" xfId="0" applyNumberFormat="1" applyFont="1" applyFill="1" applyBorder="1" applyAlignment="1">
      <alignment horizontal="right" vertical="center"/>
    </xf>
    <xf numFmtId="2" fontId="32" fillId="28" borderId="10" xfId="0" applyNumberFormat="1" applyFont="1" applyFill="1" applyBorder="1" applyAlignment="1">
      <alignment horizontal="right" vertical="center"/>
    </xf>
    <xf numFmtId="0" fontId="8" fillId="24" borderId="205" xfId="0" applyFont="1" applyFill="1" applyBorder="1" applyAlignment="1">
      <alignment horizontal="left"/>
    </xf>
    <xf numFmtId="0" fontId="157" fillId="24" borderId="11" xfId="0" applyFont="1" applyFill="1" applyBorder="1" applyAlignment="1">
      <alignment horizontal="left"/>
    </xf>
    <xf numFmtId="0" fontId="157" fillId="24" borderId="12" xfId="0" applyFont="1" applyFill="1" applyBorder="1" applyAlignment="1">
      <alignment horizontal="left"/>
    </xf>
    <xf numFmtId="0" fontId="157" fillId="24" borderId="14" xfId="0" applyFont="1" applyFill="1" applyBorder="1" applyAlignment="1">
      <alignment horizontal="left"/>
    </xf>
    <xf numFmtId="2" fontId="32" fillId="28" borderId="15" xfId="0" applyNumberFormat="1" applyFont="1" applyFill="1" applyBorder="1" applyAlignment="1">
      <alignment horizontal="center" vertical="center"/>
    </xf>
    <xf numFmtId="2" fontId="32" fillId="28" borderId="13" xfId="0" applyNumberFormat="1" applyFont="1" applyFill="1" applyBorder="1" applyAlignment="1">
      <alignment horizontal="center" vertical="center"/>
    </xf>
    <xf numFmtId="0" fontId="8" fillId="24" borderId="100" xfId="0" applyFont="1" applyFill="1" applyBorder="1" applyAlignment="1">
      <alignment horizontal="left" vertical="center"/>
    </xf>
    <xf numFmtId="0" fontId="0" fillId="24" borderId="15" xfId="0" applyFill="1" applyBorder="1" applyAlignment="1">
      <alignment horizontal="left" vertical="center"/>
    </xf>
    <xf numFmtId="0" fontId="0" fillId="24" borderId="16" xfId="0" applyFill="1" applyBorder="1" applyAlignment="1">
      <alignment horizontal="left" vertical="center"/>
    </xf>
    <xf numFmtId="0" fontId="59" fillId="25" borderId="201" xfId="0" applyFont="1" applyFill="1" applyBorder="1" applyAlignment="1">
      <alignment horizontal="right" vertical="center"/>
    </xf>
    <xf numFmtId="0" fontId="77" fillId="23" borderId="0" xfId="0" applyFont="1" applyFill="1" applyBorder="1" applyAlignment="1">
      <alignment horizontal="center"/>
    </xf>
    <xf numFmtId="0" fontId="77" fillId="23" borderId="10" xfId="0" applyFont="1" applyFill="1" applyBorder="1" applyAlignment="1">
      <alignment horizontal="center"/>
    </xf>
    <xf numFmtId="0" fontId="156" fillId="28" borderId="11" xfId="0" applyFont="1" applyFill="1" applyBorder="1" applyAlignment="1">
      <alignment horizontal="center" vertical="center"/>
    </xf>
    <xf numFmtId="0" fontId="156" fillId="28" borderId="9" xfId="0" applyFont="1" applyFill="1" applyBorder="1" applyAlignment="1">
      <alignment horizontal="center" vertical="center"/>
    </xf>
    <xf numFmtId="0" fontId="8" fillId="24" borderId="11" xfId="0" applyFont="1" applyFill="1" applyBorder="1" applyAlignment="1">
      <alignment horizontal="center"/>
    </xf>
    <xf numFmtId="0" fontId="8" fillId="24" borderId="12" xfId="0" applyFont="1" applyFill="1" applyBorder="1" applyAlignment="1">
      <alignment horizontal="center"/>
    </xf>
    <xf numFmtId="0" fontId="8" fillId="24" borderId="14" xfId="0" applyFont="1" applyFill="1" applyBorder="1" applyAlignment="1">
      <alignment horizontal="center"/>
    </xf>
    <xf numFmtId="2" fontId="10" fillId="25" borderId="29" xfId="0" applyNumberFormat="1" applyFont="1" applyFill="1" applyBorder="1" applyAlignment="1">
      <alignment horizontal="right" vertical="center"/>
    </xf>
    <xf numFmtId="0" fontId="31" fillId="28" borderId="186" xfId="0" applyFont="1" applyFill="1" applyBorder="1" applyAlignment="1">
      <alignment horizontal="left" vertical="center"/>
    </xf>
    <xf numFmtId="0" fontId="31" fillId="28" borderId="188" xfId="0" applyFont="1" applyFill="1" applyBorder="1" applyAlignment="1">
      <alignment horizontal="left" vertical="center"/>
    </xf>
    <xf numFmtId="0" fontId="31" fillId="28" borderId="187" xfId="0" applyFont="1" applyFill="1" applyBorder="1" applyAlignment="1">
      <alignment horizontal="left" vertical="center"/>
    </xf>
    <xf numFmtId="0" fontId="36" fillId="25" borderId="197" xfId="0" applyFont="1" applyFill="1" applyBorder="1" applyAlignment="1">
      <alignment horizontal="left" vertical="center"/>
    </xf>
    <xf numFmtId="0" fontId="36" fillId="25" borderId="12" xfId="0" applyFont="1" applyFill="1" applyBorder="1" applyAlignment="1">
      <alignment horizontal="left" vertical="center"/>
    </xf>
    <xf numFmtId="0" fontId="0" fillId="30" borderId="9" xfId="0" applyFill="1" applyBorder="1" applyAlignment="1">
      <alignment horizontal="center" vertical="center"/>
    </xf>
    <xf numFmtId="0" fontId="0" fillId="30" borderId="0" xfId="0" applyFill="1" applyBorder="1" applyAlignment="1">
      <alignment horizontal="center" vertical="center"/>
    </xf>
    <xf numFmtId="0" fontId="0" fillId="30" borderId="10" xfId="0" applyFill="1" applyBorder="1" applyAlignment="1">
      <alignment horizontal="center" vertical="center"/>
    </xf>
    <xf numFmtId="2" fontId="10" fillId="24" borderId="13" xfId="0" applyNumberFormat="1" applyFont="1" applyFill="1" applyBorder="1" applyAlignment="1">
      <alignment horizontal="right"/>
    </xf>
    <xf numFmtId="0" fontId="0" fillId="0" borderId="13" xfId="0" applyBorder="1" applyAlignment="1">
      <alignment horizontal="right"/>
    </xf>
    <xf numFmtId="0" fontId="29" fillId="28" borderId="20" xfId="0" applyFont="1" applyFill="1" applyBorder="1" applyAlignment="1">
      <alignment horizontal="center"/>
    </xf>
    <xf numFmtId="0" fontId="29" fillId="28" borderId="22" xfId="0" applyFont="1" applyFill="1" applyBorder="1" applyAlignment="1">
      <alignment horizontal="center"/>
    </xf>
    <xf numFmtId="0" fontId="29" fillId="28" borderId="21" xfId="0" applyFont="1" applyFill="1" applyBorder="1" applyAlignment="1">
      <alignment horizontal="center"/>
    </xf>
    <xf numFmtId="0" fontId="0" fillId="24" borderId="9" xfId="0" applyFill="1" applyBorder="1" applyAlignment="1">
      <alignment horizontal="center" wrapText="1"/>
    </xf>
    <xf numFmtId="0" fontId="0" fillId="24" borderId="0" xfId="0" applyFill="1" applyBorder="1" applyAlignment="1">
      <alignment horizontal="center" wrapText="1"/>
    </xf>
    <xf numFmtId="2" fontId="155" fillId="24" borderId="13" xfId="112" applyNumberFormat="1" applyFont="1" applyFill="1" applyBorder="1" applyAlignment="1">
      <alignment horizontal="right"/>
    </xf>
    <xf numFmtId="0" fontId="155" fillId="0" borderId="13" xfId="112" applyBorder="1" applyAlignment="1">
      <alignment horizontal="right"/>
    </xf>
    <xf numFmtId="2" fontId="155" fillId="25" borderId="0" xfId="112" applyNumberFormat="1" applyFont="1" applyFill="1" applyBorder="1" applyAlignment="1">
      <alignment horizontal="right" vertical="center"/>
    </xf>
    <xf numFmtId="0" fontId="31" fillId="28" borderId="25" xfId="0" applyFont="1" applyFill="1" applyBorder="1" applyAlignment="1">
      <alignment horizontal="left" vertical="center"/>
    </xf>
    <xf numFmtId="0" fontId="31" fillId="28" borderId="23" xfId="0" applyFont="1" applyFill="1" applyBorder="1" applyAlignment="1">
      <alignment horizontal="left" vertical="center"/>
    </xf>
    <xf numFmtId="0" fontId="31" fillId="28" borderId="24" xfId="0" applyFont="1" applyFill="1" applyBorder="1" applyAlignment="1">
      <alignment horizontal="left" vertical="center"/>
    </xf>
    <xf numFmtId="0" fontId="8" fillId="24" borderId="10" xfId="0" applyFont="1" applyFill="1" applyBorder="1" applyAlignment="1">
      <alignment horizontal="left" vertical="center"/>
    </xf>
    <xf numFmtId="0" fontId="8" fillId="24" borderId="0" xfId="0" applyFont="1" applyFill="1" applyBorder="1" applyAlignment="1">
      <alignment horizontal="left" vertical="center"/>
    </xf>
    <xf numFmtId="0" fontId="8" fillId="24" borderId="9" xfId="0" applyFont="1" applyFill="1" applyBorder="1" applyAlignment="1">
      <alignment horizontal="left" vertical="center"/>
    </xf>
    <xf numFmtId="0" fontId="59" fillId="25" borderId="206" xfId="0" applyFont="1" applyFill="1" applyBorder="1" applyAlignment="1">
      <alignment horizontal="right" vertical="center"/>
    </xf>
    <xf numFmtId="0" fontId="59" fillId="25" borderId="0" xfId="0" applyFont="1" applyFill="1" applyBorder="1" applyAlignment="1">
      <alignment horizontal="right" vertical="center"/>
    </xf>
    <xf numFmtId="0" fontId="29" fillId="28" borderId="195" xfId="0" applyFont="1" applyFill="1" applyBorder="1" applyAlignment="1">
      <alignment horizontal="center"/>
    </xf>
    <xf numFmtId="0" fontId="32" fillId="29" borderId="100" xfId="0" applyFont="1" applyFill="1" applyBorder="1" applyAlignment="1">
      <alignment horizontal="center"/>
    </xf>
    <xf numFmtId="0" fontId="32" fillId="29" borderId="21" xfId="0" applyFont="1" applyFill="1" applyBorder="1" applyAlignment="1">
      <alignment horizontal="center"/>
    </xf>
    <xf numFmtId="0" fontId="29" fillId="28" borderId="11" xfId="0" applyFont="1" applyFill="1" applyBorder="1" applyAlignment="1">
      <alignment horizontal="center" vertical="center"/>
    </xf>
    <xf numFmtId="0" fontId="29" fillId="28" borderId="14" xfId="0" applyFont="1" applyFill="1" applyBorder="1" applyAlignment="1">
      <alignment horizontal="center" vertical="center"/>
    </xf>
    <xf numFmtId="0" fontId="29" fillId="28" borderId="9" xfId="0" applyFont="1" applyFill="1" applyBorder="1" applyAlignment="1">
      <alignment horizontal="center" vertical="center"/>
    </xf>
    <xf numFmtId="0" fontId="29" fillId="28" borderId="10" xfId="0" applyFont="1" applyFill="1" applyBorder="1" applyAlignment="1">
      <alignment horizontal="center" vertical="center"/>
    </xf>
    <xf numFmtId="0" fontId="32" fillId="29" borderId="22" xfId="0" applyFont="1" applyFill="1" applyBorder="1" applyAlignment="1">
      <alignment horizontal="center"/>
    </xf>
    <xf numFmtId="0" fontId="77" fillId="23" borderId="9" xfId="0" applyFont="1" applyFill="1" applyBorder="1" applyAlignment="1">
      <alignment horizontal="center"/>
    </xf>
    <xf numFmtId="0" fontId="29" fillId="28" borderId="21" xfId="0" applyFont="1" applyFill="1" applyBorder="1" applyAlignment="1">
      <alignment horizontal="center" vertical="center"/>
    </xf>
    <xf numFmtId="0" fontId="0" fillId="24" borderId="13" xfId="0" applyFill="1" applyBorder="1" applyAlignment="1">
      <alignment horizontal="left" vertical="center"/>
    </xf>
    <xf numFmtId="0" fontId="60" fillId="25" borderId="206" xfId="0" applyFont="1" applyFill="1" applyBorder="1" applyAlignment="1">
      <alignment horizontal="right" vertical="center"/>
    </xf>
    <xf numFmtId="0" fontId="60" fillId="25" borderId="0" xfId="0" applyFont="1" applyFill="1" applyBorder="1" applyAlignment="1">
      <alignment horizontal="right" vertical="center"/>
    </xf>
    <xf numFmtId="2" fontId="10" fillId="24" borderId="13" xfId="0" applyNumberFormat="1" applyFont="1" applyFill="1" applyBorder="1" applyAlignment="1">
      <alignment horizontal="right" vertical="center"/>
    </xf>
    <xf numFmtId="0" fontId="0" fillId="0" borderId="13" xfId="0" applyBorder="1" applyAlignment="1">
      <alignment vertical="center"/>
    </xf>
    <xf numFmtId="2" fontId="10" fillId="25" borderId="0" xfId="0" applyNumberFormat="1" applyFont="1" applyFill="1" applyBorder="1" applyAlignment="1">
      <alignment horizontal="right" vertical="center"/>
    </xf>
    <xf numFmtId="0" fontId="32" fillId="29" borderId="25" xfId="0" applyFont="1" applyFill="1" applyBorder="1" applyAlignment="1">
      <alignment horizontal="center"/>
    </xf>
    <xf numFmtId="0" fontId="32" fillId="29" borderId="23" xfId="0" applyFont="1" applyFill="1" applyBorder="1" applyAlignment="1">
      <alignment horizontal="center"/>
    </xf>
    <xf numFmtId="0" fontId="32" fillId="29" borderId="24" xfId="0" applyFont="1" applyFill="1" applyBorder="1" applyAlignment="1">
      <alignment horizontal="center"/>
    </xf>
    <xf numFmtId="0" fontId="0" fillId="30" borderId="207" xfId="0" applyFill="1" applyBorder="1" applyAlignment="1">
      <alignment horizontal="center" vertical="center" wrapText="1"/>
    </xf>
    <xf numFmtId="0" fontId="0" fillId="30" borderId="191" xfId="0" applyFill="1" applyBorder="1" applyAlignment="1">
      <alignment horizontal="center" vertical="center" wrapText="1"/>
    </xf>
    <xf numFmtId="0" fontId="32" fillId="29" borderId="20" xfId="0" applyFont="1" applyFill="1" applyBorder="1" applyAlignment="1">
      <alignment horizontal="center"/>
    </xf>
    <xf numFmtId="0" fontId="155" fillId="24" borderId="0" xfId="0" applyFont="1" applyFill="1" applyBorder="1" applyAlignment="1">
      <alignment horizontal="center"/>
    </xf>
    <xf numFmtId="0" fontId="155" fillId="24" borderId="10" xfId="0" applyFont="1" applyFill="1" applyBorder="1" applyAlignment="1">
      <alignment horizontal="center"/>
    </xf>
    <xf numFmtId="0" fontId="29" fillId="28" borderId="100" xfId="0" applyFont="1" applyFill="1" applyBorder="1" applyAlignment="1">
      <alignment horizontal="center"/>
    </xf>
    <xf numFmtId="0" fontId="155" fillId="24" borderId="9" xfId="0" applyFont="1" applyFill="1" applyBorder="1" applyAlignment="1">
      <alignment horizontal="center"/>
    </xf>
    <xf numFmtId="0" fontId="8" fillId="24" borderId="25" xfId="0" applyFont="1" applyFill="1" applyBorder="1" applyAlignment="1">
      <alignment horizontal="center"/>
    </xf>
    <xf numFmtId="0" fontId="8" fillId="24" borderId="23" xfId="0" applyFont="1" applyFill="1" applyBorder="1" applyAlignment="1">
      <alignment horizontal="center"/>
    </xf>
    <xf numFmtId="0" fontId="8" fillId="24" borderId="24" xfId="0" applyFont="1" applyFill="1" applyBorder="1" applyAlignment="1">
      <alignment horizontal="center"/>
    </xf>
    <xf numFmtId="0" fontId="155" fillId="24" borderId="9" xfId="0" applyFont="1" applyFill="1" applyBorder="1" applyAlignment="1">
      <alignment horizontal="left"/>
    </xf>
    <xf numFmtId="0" fontId="155" fillId="24" borderId="0" xfId="0" applyFont="1" applyFill="1" applyBorder="1" applyAlignment="1">
      <alignment horizontal="left"/>
    </xf>
    <xf numFmtId="2" fontId="155" fillId="24" borderId="13" xfId="112" applyNumberFormat="1" applyFont="1" applyFill="1" applyBorder="1" applyAlignment="1">
      <alignment horizontal="right" vertical="center"/>
    </xf>
    <xf numFmtId="0" fontId="155" fillId="0" borderId="13" xfId="112" applyBorder="1" applyAlignment="1">
      <alignment vertical="center"/>
    </xf>
    <xf numFmtId="0" fontId="70" fillId="24" borderId="163" xfId="0" applyFont="1" applyFill="1" applyBorder="1" applyAlignment="1"/>
    <xf numFmtId="0" fontId="71" fillId="24" borderId="164" xfId="0" applyFont="1" applyFill="1" applyBorder="1" applyAlignment="1"/>
    <xf numFmtId="0" fontId="62" fillId="28" borderId="239" xfId="0" applyFont="1" applyFill="1" applyBorder="1" applyAlignment="1">
      <alignment horizontal="center" wrapText="1"/>
    </xf>
    <xf numFmtId="0" fontId="62" fillId="28" borderId="97" xfId="0" applyFont="1" applyFill="1" applyBorder="1" applyAlignment="1">
      <alignment horizontal="center" wrapText="1"/>
    </xf>
    <xf numFmtId="0" fontId="62" fillId="28" borderId="165" xfId="0" applyFont="1" applyFill="1" applyBorder="1" applyAlignment="1">
      <alignment horizontal="center" wrapText="1"/>
    </xf>
    <xf numFmtId="0" fontId="62" fillId="28" borderId="36" xfId="0" applyFont="1" applyFill="1" applyBorder="1" applyAlignment="1">
      <alignment horizontal="center" wrapText="1"/>
    </xf>
    <xf numFmtId="0" fontId="62" fillId="28" borderId="9" xfId="0" applyFont="1" applyFill="1" applyBorder="1" applyAlignment="1">
      <alignment horizontal="center" wrapText="1"/>
    </xf>
    <xf numFmtId="0" fontId="62" fillId="28" borderId="29" xfId="0" applyFont="1" applyFill="1" applyBorder="1" applyAlignment="1">
      <alignment horizontal="center" wrapText="1"/>
    </xf>
    <xf numFmtId="0" fontId="62" fillId="28" borderId="80" xfId="0" applyFont="1" applyFill="1" applyBorder="1" applyAlignment="1">
      <alignment horizontal="right"/>
    </xf>
    <xf numFmtId="0" fontId="0" fillId="0" borderId="55" xfId="0" applyBorder="1" applyAlignment="1">
      <alignment horizontal="right"/>
    </xf>
    <xf numFmtId="0" fontId="69" fillId="28" borderId="17" xfId="0" applyFont="1" applyFill="1" applyBorder="1" applyAlignment="1">
      <alignment horizontal="left" wrapText="1"/>
    </xf>
    <xf numFmtId="0" fontId="69" fillId="28" borderId="36" xfId="0" applyFont="1" applyFill="1" applyBorder="1" applyAlignment="1">
      <alignment horizontal="left" wrapText="1"/>
    </xf>
    <xf numFmtId="0" fontId="62" fillId="28" borderId="0" xfId="0" applyFont="1" applyFill="1" applyBorder="1" applyAlignment="1">
      <alignment horizontal="center"/>
    </xf>
    <xf numFmtId="0" fontId="62" fillId="28" borderId="29" xfId="0" applyFont="1" applyFill="1" applyBorder="1" applyAlignment="1">
      <alignment horizontal="center"/>
    </xf>
    <xf numFmtId="0" fontId="62" fillId="28" borderId="19" xfId="0" applyFont="1" applyFill="1" applyBorder="1" applyAlignment="1">
      <alignment horizontal="center" wrapText="1"/>
    </xf>
    <xf numFmtId="0" fontId="0" fillId="0" borderId="10" xfId="0" applyBorder="1"/>
    <xf numFmtId="0" fontId="62" fillId="28" borderId="165" xfId="0" applyFont="1" applyFill="1" applyBorder="1" applyAlignment="1">
      <alignment horizontal="center"/>
    </xf>
    <xf numFmtId="0" fontId="34" fillId="28" borderId="36" xfId="0" applyFont="1" applyFill="1" applyBorder="1" applyAlignment="1">
      <alignment horizontal="center"/>
    </xf>
    <xf numFmtId="0" fontId="62" fillId="28" borderId="9" xfId="0" applyFont="1" applyFill="1" applyBorder="1" applyAlignment="1">
      <alignment horizontal="center"/>
    </xf>
    <xf numFmtId="0" fontId="69" fillId="28" borderId="17" xfId="0" applyFont="1" applyFill="1" applyBorder="1" applyAlignment="1">
      <alignment horizontal="left"/>
    </xf>
    <xf numFmtId="0" fontId="69" fillId="28" borderId="36" xfId="0" applyFont="1" applyFill="1" applyBorder="1" applyAlignment="1">
      <alignment horizontal="left"/>
    </xf>
    <xf numFmtId="0" fontId="65" fillId="28" borderId="29" xfId="0" applyFont="1" applyFill="1" applyBorder="1" applyAlignment="1">
      <alignment horizontal="center" vertical="center"/>
    </xf>
    <xf numFmtId="0" fontId="0" fillId="0" borderId="29" xfId="0" applyBorder="1" applyAlignment="1">
      <alignment horizontal="center" vertical="center"/>
    </xf>
    <xf numFmtId="0" fontId="65" fillId="28" borderId="35" xfId="0" applyFont="1" applyFill="1" applyBorder="1" applyAlignment="1">
      <alignment horizontal="center" vertical="center"/>
    </xf>
    <xf numFmtId="0" fontId="0" fillId="0" borderId="35" xfId="0" applyBorder="1" applyAlignment="1">
      <alignment horizontal="center" vertical="center"/>
    </xf>
    <xf numFmtId="0" fontId="65" fillId="28" borderId="166" xfId="0" applyFont="1" applyFill="1" applyBorder="1" applyAlignment="1">
      <alignment horizontal="center" vertical="center"/>
    </xf>
    <xf numFmtId="0" fontId="0" fillId="0" borderId="0" xfId="0" applyAlignment="1">
      <alignment horizontal="center" vertical="center"/>
    </xf>
    <xf numFmtId="0" fontId="65" fillId="28" borderId="9" xfId="0" applyFont="1" applyFill="1" applyBorder="1" applyAlignment="1">
      <alignment horizontal="center" vertical="center"/>
    </xf>
    <xf numFmtId="0" fontId="0" fillId="0" borderId="9" xfId="0" applyBorder="1" applyAlignment="1">
      <alignment horizontal="center" vertical="center"/>
    </xf>
    <xf numFmtId="0" fontId="65" fillId="28" borderId="19" xfId="0" applyFont="1" applyFill="1" applyBorder="1" applyAlignment="1">
      <alignment horizontal="center" vertical="center"/>
    </xf>
    <xf numFmtId="0" fontId="0" fillId="0" borderId="19" xfId="0" applyBorder="1" applyAlignment="1">
      <alignment horizontal="center" vertical="center"/>
    </xf>
    <xf numFmtId="0" fontId="45" fillId="32" borderId="42" xfId="0" applyFont="1" applyFill="1" applyBorder="1" applyAlignment="1"/>
    <xf numFmtId="0" fontId="46" fillId="32" borderId="47" xfId="0" applyFont="1" applyFill="1" applyBorder="1" applyAlignment="1"/>
    <xf numFmtId="0" fontId="43" fillId="0" borderId="42" xfId="0" applyFont="1" applyBorder="1" applyAlignment="1"/>
    <xf numFmtId="0" fontId="4" fillId="0" borderId="47" xfId="0" applyFont="1" applyBorder="1" applyAlignment="1"/>
    <xf numFmtId="0" fontId="43" fillId="0" borderId="163" xfId="0" applyFont="1" applyBorder="1" applyAlignment="1"/>
    <xf numFmtId="0" fontId="0" fillId="0" borderId="164" xfId="0" applyBorder="1" applyAlignment="1"/>
  </cellXfs>
  <cellStyles count="120">
    <cellStyle name="20% - Accent1" xfId="1"/>
    <cellStyle name="20% - Accent2" xfId="2"/>
    <cellStyle name="20% - Accent3" xfId="3"/>
    <cellStyle name="20% - Accent4" xfId="4"/>
    <cellStyle name="20% - Accent5" xfId="5"/>
    <cellStyle name="20% - Accent6" xfId="6"/>
    <cellStyle name="20% - Énfasis1" xfId="7"/>
    <cellStyle name="20% - Énfasis2" xfId="8"/>
    <cellStyle name="20% - Énfasis3" xfId="9"/>
    <cellStyle name="20% - Énfasis4" xfId="10"/>
    <cellStyle name="20% - Énfasis5" xfId="11"/>
    <cellStyle name="20% - Énfasis6" xfId="12"/>
    <cellStyle name="20% - Акцент1" xfId="86" builtinId="30" hidden="1"/>
    <cellStyle name="20% - Акцент2" xfId="89" builtinId="34" hidden="1"/>
    <cellStyle name="20% - Акцент3" xfId="92" builtinId="38" hidden="1"/>
    <cellStyle name="20% - Акцент4" xfId="95" builtinId="42" hidden="1"/>
    <cellStyle name="20% - Акцент5" xfId="98" builtinId="46" hidden="1"/>
    <cellStyle name="20% - Акцент6" xfId="101" builtinId="50" hidden="1"/>
    <cellStyle name="40% - Accent1" xfId="13"/>
    <cellStyle name="40% - Accent2" xfId="14"/>
    <cellStyle name="40% - Accent3" xfId="15"/>
    <cellStyle name="40% - Accent4" xfId="16"/>
    <cellStyle name="40% - Accent5" xfId="17"/>
    <cellStyle name="40% - Accent6" xfId="18"/>
    <cellStyle name="40% - Énfasis1" xfId="19"/>
    <cellStyle name="40% - Énfasis2" xfId="20"/>
    <cellStyle name="40% - Énfasis3" xfId="21"/>
    <cellStyle name="40% - Énfasis4" xfId="22"/>
    <cellStyle name="40% - Énfasis5" xfId="23"/>
    <cellStyle name="40% - Énfasis6" xfId="24"/>
    <cellStyle name="40% - Акцент1" xfId="87" builtinId="31" hidden="1"/>
    <cellStyle name="40% - Акцент2" xfId="90" builtinId="35" hidden="1"/>
    <cellStyle name="40% - Акцент3" xfId="93" builtinId="39" hidden="1"/>
    <cellStyle name="40% - Акцент4" xfId="96" builtinId="43" hidden="1"/>
    <cellStyle name="40% - Акцент5" xfId="99" builtinId="47" hidden="1"/>
    <cellStyle name="40% - Акцент6" xfId="102" builtinId="51" hidden="1"/>
    <cellStyle name="60% - Accent1" xfId="25"/>
    <cellStyle name="60% - Accent2" xfId="26"/>
    <cellStyle name="60% - Accent3" xfId="27"/>
    <cellStyle name="60% - Accent4" xfId="28"/>
    <cellStyle name="60% - Accent5" xfId="29"/>
    <cellStyle name="60% - Accent6" xfId="30"/>
    <cellStyle name="60% - Énfasis1" xfId="31"/>
    <cellStyle name="60% - Énfasis2" xfId="32"/>
    <cellStyle name="60% - Énfasis3" xfId="33"/>
    <cellStyle name="60% - Énfasis4" xfId="34"/>
    <cellStyle name="60% - Énfasis5" xfId="35"/>
    <cellStyle name="60% - Énfasis6" xfId="36"/>
    <cellStyle name="60% - Акцент1" xfId="88" builtinId="32" hidden="1"/>
    <cellStyle name="60% - Акцент2" xfId="91" builtinId="36" hidden="1"/>
    <cellStyle name="60% - Акцент3" xfId="94" builtinId="40" hidden="1"/>
    <cellStyle name="60% - Акцент4" xfId="97" builtinId="44" hidden="1"/>
    <cellStyle name="60% - Акцент5" xfId="100" builtinId="48" hidden="1"/>
    <cellStyle name="60% - Акцент6" xfId="103" builtinId="52" hidden="1"/>
    <cellStyle name="Accent1" xfId="37"/>
    <cellStyle name="Accent2" xfId="38"/>
    <cellStyle name="Accent3" xfId="39"/>
    <cellStyle name="Accent4" xfId="40"/>
    <cellStyle name="Accent5" xfId="41"/>
    <cellStyle name="Accent6" xfId="42"/>
    <cellStyle name="Bad" xfId="76" hidden="1"/>
    <cellStyle name="Buena" xfId="43"/>
    <cellStyle name="Calculation" xfId="80" hidden="1"/>
    <cellStyle name="Cálculo" xfId="44"/>
    <cellStyle name="Celda de comprobación" xfId="45"/>
    <cellStyle name="Celda vinculada" xfId="46"/>
    <cellStyle name="Check Cell" xfId="82" hidden="1"/>
    <cellStyle name="Encabezado 4" xfId="47"/>
    <cellStyle name="Entrada" xfId="48"/>
    <cellStyle name="Explanatory Text" xfId="85" hidden="1"/>
    <cellStyle name="Good" xfId="75" hidden="1"/>
    <cellStyle name="Heading 1" xfId="71" hidden="1"/>
    <cellStyle name="Heading 2" xfId="72" hidden="1"/>
    <cellStyle name="Heading 3" xfId="73" hidden="1"/>
    <cellStyle name="Heading 4" xfId="74" hidden="1"/>
    <cellStyle name="Hyperlink_Kopie van VIE_12_BioGrace_Public_workshop_Vienna_calculation_examples" xfId="49"/>
    <cellStyle name="Hyperlink_Kopie van VIE_12_BioGrace_Public_workshop_Vienna_calculation_examples 2" xfId="50"/>
    <cellStyle name="Hyperlink_N2O_Biograce_final" xfId="51"/>
    <cellStyle name="Hyperlink_N2O_Biograce_final 2" xfId="105"/>
    <cellStyle name="Incorrecto" xfId="52"/>
    <cellStyle name="Input" xfId="78" hidden="1"/>
    <cellStyle name="Linked Cell" xfId="81" hidden="1"/>
    <cellStyle name="Millares 2" xfId="53"/>
    <cellStyle name="Millares 2 2" xfId="106"/>
    <cellStyle name="Millares 2 3" xfId="107"/>
    <cellStyle name="Neutral" xfId="77" hidden="1"/>
    <cellStyle name="Normal 2" xfId="54"/>
    <cellStyle name="Normal 2 2" xfId="108"/>
    <cellStyle name="Notas" xfId="55"/>
    <cellStyle name="Note" xfId="84" hidden="1"/>
    <cellStyle name="Output" xfId="79" hidden="1"/>
    <cellStyle name="Porcentaje 2" xfId="56"/>
    <cellStyle name="Porcentaje 2 2" xfId="109"/>
    <cellStyle name="Salida" xfId="57"/>
    <cellStyle name="Standaard 2" xfId="118"/>
    <cellStyle name="Standard 2" xfId="119"/>
    <cellStyle name="Texto de advertencia" xfId="58"/>
    <cellStyle name="Texto explicativo" xfId="59"/>
    <cellStyle name="Title" xfId="60"/>
    <cellStyle name="Título" xfId="61"/>
    <cellStyle name="Título 1" xfId="62"/>
    <cellStyle name="Título 2" xfId="63"/>
    <cellStyle name="Título 3" xfId="64"/>
    <cellStyle name="Título_10-06-18 AnH BioGrace GHG calculations - version 2.0.a" xfId="65"/>
    <cellStyle name="Warning Text" xfId="83" hidden="1"/>
    <cellStyle name="Гиперссылка" xfId="66" builtinId="8"/>
    <cellStyle name="Денежный" xfId="67" builtinId="4"/>
    <cellStyle name="Название" xfId="70" builtinId="15" hidden="1"/>
    <cellStyle name="Обычный" xfId="0" builtinId="0"/>
    <cellStyle name="Обычный 2" xfId="104"/>
    <cellStyle name="Обычный 3" xfId="112"/>
    <cellStyle name="Процентный" xfId="68" builtinId="5"/>
    <cellStyle name="Процентный 2" xfId="110"/>
    <cellStyle name="Процентный 3" xfId="113"/>
    <cellStyle name="Финансовый" xfId="69" builtinId="3"/>
    <cellStyle name="Финансовый 2" xfId="111"/>
    <cellStyle name="Финансовый 3" xfId="114"/>
    <cellStyle name="Финансовый 4" xfId="115"/>
    <cellStyle name="Финансовый 5" xfId="116"/>
    <cellStyle name="Финансовый 6" xfId="117"/>
  </cellStyles>
  <dxfs count="25">
    <dxf>
      <font>
        <b val="0"/>
        <i/>
        <condense val="0"/>
        <extend val="0"/>
      </font>
      <fill>
        <patternFill>
          <bgColor indexed="22"/>
        </patternFill>
      </fill>
    </dxf>
    <dxf>
      <font>
        <b val="0"/>
        <i/>
        <condense val="0"/>
        <extend val="0"/>
      </font>
      <fill>
        <patternFill>
          <bgColor indexed="22"/>
        </patternFill>
      </fill>
    </dxf>
    <dxf>
      <font>
        <b val="0"/>
        <i/>
        <condense val="0"/>
        <extend val="0"/>
      </font>
      <fill>
        <patternFill>
          <bgColor indexed="22"/>
        </patternFill>
      </fill>
    </dxf>
    <dxf>
      <font>
        <b/>
        <i val="0"/>
        <condense val="0"/>
        <extend val="0"/>
        <color indexed="13"/>
      </font>
    </dxf>
    <dxf>
      <fill>
        <patternFill>
          <bgColor indexed="51"/>
        </patternFill>
      </fill>
    </dxf>
    <dxf>
      <fill>
        <patternFill>
          <bgColor indexed="51"/>
        </patternFill>
      </fill>
    </dxf>
    <dxf>
      <fill>
        <patternFill>
          <bgColor indexed="51"/>
        </patternFill>
      </fill>
    </dxf>
    <dxf>
      <fill>
        <patternFill>
          <bgColor indexed="51"/>
        </patternFill>
      </fill>
    </dxf>
    <dxf>
      <font>
        <b/>
        <i val="0"/>
        <condense val="0"/>
        <extend val="0"/>
        <color indexed="13"/>
      </font>
    </dxf>
    <dxf>
      <font>
        <b/>
        <i val="0"/>
        <condense val="0"/>
        <extend val="0"/>
        <color indexed="13"/>
      </font>
    </dxf>
    <dxf>
      <fill>
        <patternFill>
          <bgColor indexed="51"/>
        </patternFill>
      </fill>
    </dxf>
    <dxf>
      <fill>
        <patternFill>
          <bgColor indexed="51"/>
        </patternFill>
      </fill>
    </dxf>
    <dxf>
      <fill>
        <patternFill>
          <bgColor indexed="51"/>
        </patternFill>
      </fill>
    </dxf>
    <dxf>
      <fill>
        <patternFill>
          <bgColor indexed="51"/>
        </patternFill>
      </fill>
    </dxf>
    <dxf>
      <font>
        <b/>
        <i val="0"/>
        <condense val="0"/>
        <extend val="0"/>
        <color indexed="13"/>
      </font>
    </dxf>
    <dxf>
      <font>
        <b/>
        <i val="0"/>
        <condense val="0"/>
        <extend val="0"/>
        <color indexed="13"/>
      </font>
    </dxf>
    <dxf>
      <fill>
        <patternFill>
          <bgColor indexed="51"/>
        </patternFill>
      </fill>
    </dxf>
    <dxf>
      <fill>
        <patternFill>
          <bgColor indexed="51"/>
        </patternFill>
      </fill>
    </dxf>
    <dxf>
      <fill>
        <patternFill>
          <bgColor indexed="51"/>
        </patternFill>
      </fill>
    </dxf>
    <dxf>
      <font>
        <b/>
        <i val="0"/>
        <condense val="0"/>
        <extend val="0"/>
        <color indexed="13"/>
      </font>
    </dxf>
    <dxf>
      <font>
        <b/>
        <i val="0"/>
        <condense val="0"/>
        <extend val="0"/>
        <color indexed="13"/>
      </font>
    </dxf>
    <dxf>
      <fill>
        <patternFill>
          <bgColor indexed="51"/>
        </patternFill>
      </fill>
    </dxf>
    <dxf>
      <fill>
        <patternFill>
          <bgColor indexed="51"/>
        </patternFill>
      </fill>
    </dxf>
    <dxf>
      <fill>
        <patternFill>
          <bgColor indexed="51"/>
        </patternFill>
      </fill>
    </dxf>
    <dxf>
      <font>
        <b/>
        <i val="0"/>
        <condense val="0"/>
        <extend val="0"/>
        <color indexed="13"/>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C8D2F5"/>
      <rgbColor rgb="00800000"/>
      <rgbColor rgb="00008000"/>
      <rgbColor rgb="00000080"/>
      <rgbColor rgb="003C6919"/>
      <rgbColor rgb="00800080"/>
      <rgbColor rgb="00008080"/>
      <rgbColor rgb="00C0C0C0"/>
      <rgbColor rgb="00808080"/>
      <rgbColor rgb="00B3B3B3"/>
      <rgbColor rgb="00CDD20A"/>
      <rgbColor rgb="003C6919"/>
      <rgbColor rgb="00505A91"/>
      <rgbColor rgb="00660066"/>
      <rgbColor rgb="00FF8080"/>
      <rgbColor rgb="000066CC"/>
      <rgbColor rgb="00CCCCFF"/>
      <rgbColor rgb="00000080"/>
      <rgbColor rgb="00EBEB32"/>
      <rgbColor rgb="00A0BE91"/>
      <rgbColor rgb="00C8D2F5"/>
      <rgbColor rgb="00800080"/>
      <rgbColor rgb="00800000"/>
      <rgbColor rgb="00008080"/>
      <rgbColor rgb="000000FF"/>
      <rgbColor rgb="00A0BE91"/>
      <rgbColor rgb="00E6E6E6"/>
      <rgbColor rgb="00CCFFCC"/>
      <rgbColor rgb="00FFFF99"/>
      <rgbColor rgb="0099CCFF"/>
      <rgbColor rgb="00FF99CC"/>
      <rgbColor rgb="00CC99FF"/>
      <rgbColor rgb="00FFCC99"/>
      <rgbColor rgb="003366FF"/>
      <rgbColor rgb="0033CCCC"/>
      <rgbColor rgb="00CDD20A"/>
      <rgbColor rgb="00FFCC00"/>
      <rgbColor rgb="00FF9900"/>
      <rgbColor rgb="00FF6600"/>
      <rgbColor rgb="00505A91"/>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1054;&#1087;&#1080;&#1089;!A1"/><Relationship Id="rId2" Type="http://schemas.openxmlformats.org/officeDocument/2006/relationships/hyperlink" Target="#&#1050;&#1072;&#1090;&#1072;&#1083;&#1086;&#1075;!A1"/><Relationship Id="rId1" Type="http://schemas.openxmlformats.org/officeDocument/2006/relationships/image" Target="../media/image1.jpe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Directory!A1"/><Relationship Id="rId2" Type="http://schemas.openxmlformats.org/officeDocument/2006/relationships/hyperlink" Target="#About!A1"/><Relationship Id="rId1" Type="http://schemas.openxmlformats.org/officeDocument/2006/relationships/image" Target="../media/image10.png"/><Relationship Id="rId5" Type="http://schemas.openxmlformats.org/officeDocument/2006/relationships/hyperlink" Target="#Directory!A1"/><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9.png"/><Relationship Id="rId7" Type="http://schemas.openxmlformats.org/officeDocument/2006/relationships/hyperlink" Target="#&#1054;&#1087;&#1080;&#1089;!A1"/><Relationship Id="rId2" Type="http://schemas.openxmlformats.org/officeDocument/2006/relationships/hyperlink" Target="#Directory!A1"/><Relationship Id="rId1" Type="http://schemas.openxmlformats.org/officeDocument/2006/relationships/hyperlink" Target="#About!A1"/><Relationship Id="rId6" Type="http://schemas.openxmlformats.org/officeDocument/2006/relationships/hyperlink" Target="#&#1050;&#1072;&#1090;&#1072;&#1083;&#1086;&#1075;!A1"/><Relationship Id="rId5" Type="http://schemas.openxmlformats.org/officeDocument/2006/relationships/hyperlink" Target="#Directory!A1"/><Relationship Id="rId4" Type="http://schemas.openxmlformats.org/officeDocument/2006/relationships/hyperlink" Target="#About!A1"/></Relationships>
</file>

<file path=xl/drawings/_rels/drawing12.xml.rels><?xml version="1.0" encoding="UTF-8" standalone="yes"?>
<Relationships xmlns="http://schemas.openxmlformats.org/package/2006/relationships"><Relationship Id="rId3" Type="http://schemas.openxmlformats.org/officeDocument/2006/relationships/hyperlink" Target="#Directory!A1"/><Relationship Id="rId2" Type="http://schemas.openxmlformats.org/officeDocument/2006/relationships/hyperlink" Target="#About!A1"/><Relationship Id="rId1" Type="http://schemas.openxmlformats.org/officeDocument/2006/relationships/image" Target="../media/image10.png"/><Relationship Id="rId5" Type="http://schemas.openxmlformats.org/officeDocument/2006/relationships/hyperlink" Target="#Directory!A1"/><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ec.europa.eu/intelligentenergy" TargetMode="External"/><Relationship Id="rId7" Type="http://schemas.openxmlformats.org/officeDocument/2006/relationships/image" Target="../media/image11.emf"/><Relationship Id="rId2" Type="http://schemas.openxmlformats.org/officeDocument/2006/relationships/hyperlink" Target="#Directory!A1"/><Relationship Id="rId1" Type="http://schemas.openxmlformats.org/officeDocument/2006/relationships/hyperlink" Target="#About!A1"/><Relationship Id="rId6" Type="http://schemas.openxmlformats.org/officeDocument/2006/relationships/hyperlink" Target="#&#1054;&#1087;&#1080;&#1089;!A1"/><Relationship Id="rId11" Type="http://schemas.openxmlformats.org/officeDocument/2006/relationships/image" Target="../media/image14.png"/><Relationship Id="rId5" Type="http://schemas.openxmlformats.org/officeDocument/2006/relationships/hyperlink" Target="#&#1050;&#1072;&#1090;&#1072;&#1083;&#1086;&#1075;!A1"/><Relationship Id="rId10" Type="http://schemas.openxmlformats.org/officeDocument/2006/relationships/image" Target="../media/image2.png"/><Relationship Id="rId4" Type="http://schemas.openxmlformats.org/officeDocument/2006/relationships/hyperlink" Target="http://www.biograce.net/" TargetMode="External"/><Relationship Id="rId9"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hyperlink" Target="#Directory!A1"/><Relationship Id="rId7" Type="http://schemas.openxmlformats.org/officeDocument/2006/relationships/image" Target="../media/image17.emf"/><Relationship Id="rId2" Type="http://schemas.openxmlformats.org/officeDocument/2006/relationships/hyperlink" Target="#About!A1"/><Relationship Id="rId1" Type="http://schemas.openxmlformats.org/officeDocument/2006/relationships/image" Target="../media/image15.png"/><Relationship Id="rId6" Type="http://schemas.openxmlformats.org/officeDocument/2006/relationships/image" Target="../media/image16.emf"/><Relationship Id="rId5" Type="http://schemas.openxmlformats.org/officeDocument/2006/relationships/hyperlink" Target="http://www.biograce.net/" TargetMode="External"/><Relationship Id="rId10" Type="http://schemas.openxmlformats.org/officeDocument/2006/relationships/image" Target="../media/image20.emf"/><Relationship Id="rId4" Type="http://schemas.openxmlformats.org/officeDocument/2006/relationships/hyperlink" Target="http://ec.europa.eu/intelligentenergy" TargetMode="External"/><Relationship Id="rId9"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8" Type="http://schemas.openxmlformats.org/officeDocument/2006/relationships/hyperlink" Target="#&#1054;&#1087;&#1080;&#1089;!A1"/><Relationship Id="rId3" Type="http://schemas.openxmlformats.org/officeDocument/2006/relationships/hyperlink" Target="#About!A1"/><Relationship Id="rId7" Type="http://schemas.openxmlformats.org/officeDocument/2006/relationships/hyperlink" Target="#&#1050;&#1072;&#1090;&#1072;&#1083;&#1086;&#1075;!A1"/><Relationship Id="rId2" Type="http://schemas.openxmlformats.org/officeDocument/2006/relationships/hyperlink" Target="http://ec.europa.eu/intelligentenergy" TargetMode="External"/><Relationship Id="rId1" Type="http://schemas.openxmlformats.org/officeDocument/2006/relationships/hyperlink" Target="http://www.biograce.net/" TargetMode="External"/><Relationship Id="rId6" Type="http://schemas.openxmlformats.org/officeDocument/2006/relationships/hyperlink" Target="#&#1054;&#1087;&#1080;&#1089;!A1"/><Relationship Id="rId5" Type="http://schemas.openxmlformats.org/officeDocument/2006/relationships/hyperlink" Target="#&#1050;&#1072;&#1090;&#1072;&#1083;&#1086;&#1075;!A1"/><Relationship Id="rId10" Type="http://schemas.openxmlformats.org/officeDocument/2006/relationships/image" Target="../media/image2.png"/><Relationship Id="rId4" Type="http://schemas.openxmlformats.org/officeDocument/2006/relationships/hyperlink" Target="#Directory!A1"/><Relationship Id="rId9" Type="http://schemas.openxmlformats.org/officeDocument/2006/relationships/image" Target="../media/image21.emf"/></Relationships>
</file>

<file path=xl/drawings/_rels/drawing18.xml.rels><?xml version="1.0" encoding="UTF-8" standalone="yes"?>
<Relationships xmlns="http://schemas.openxmlformats.org/package/2006/relationships"><Relationship Id="rId3" Type="http://schemas.openxmlformats.org/officeDocument/2006/relationships/hyperlink" Target="http://ec.europa.eu/intelligentenergy" TargetMode="External"/><Relationship Id="rId2" Type="http://schemas.openxmlformats.org/officeDocument/2006/relationships/hyperlink" Target="http://www.biograce.net/" TargetMode="External"/><Relationship Id="rId1" Type="http://schemas.openxmlformats.org/officeDocument/2006/relationships/image" Target="../media/image22.png"/><Relationship Id="rId6" Type="http://schemas.openxmlformats.org/officeDocument/2006/relationships/image" Target="../media/image23.emf"/><Relationship Id="rId5" Type="http://schemas.openxmlformats.org/officeDocument/2006/relationships/hyperlink" Target="#Directory!A1"/><Relationship Id="rId4" Type="http://schemas.openxmlformats.org/officeDocument/2006/relationships/hyperlink" Target="#About!A1"/></Relationships>
</file>

<file path=xl/drawings/_rels/drawing19.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hyperlink" Target="#&#1050;&#1072;&#1090;&#1072;&#1083;&#1086;&#1075;!A1"/><Relationship Id="rId7" Type="http://schemas.openxmlformats.org/officeDocument/2006/relationships/image" Target="../media/image26.emf"/><Relationship Id="rId2" Type="http://schemas.openxmlformats.org/officeDocument/2006/relationships/hyperlink" Target="http://ec.europa.eu/intelligentenergy" TargetMode="External"/><Relationship Id="rId1" Type="http://schemas.openxmlformats.org/officeDocument/2006/relationships/hyperlink" Target="http://www.biograce.net/" TargetMode="External"/><Relationship Id="rId6" Type="http://schemas.openxmlformats.org/officeDocument/2006/relationships/image" Target="../media/image25.emf"/><Relationship Id="rId5" Type="http://schemas.openxmlformats.org/officeDocument/2006/relationships/image" Target="../media/image24.emf"/><Relationship Id="rId10" Type="http://schemas.openxmlformats.org/officeDocument/2006/relationships/image" Target="../media/image14.png"/><Relationship Id="rId4" Type="http://schemas.openxmlformats.org/officeDocument/2006/relationships/hyperlink" Target="#&#1054;&#1087;&#1080;&#1089;!A1"/><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http://www.biograce.net/" TargetMode="External"/><Relationship Id="rId7" Type="http://schemas.openxmlformats.org/officeDocument/2006/relationships/hyperlink" Target="#Directory!A1"/><Relationship Id="rId2" Type="http://schemas.openxmlformats.org/officeDocument/2006/relationships/hyperlink" Target="#Directory!A1"/><Relationship Id="rId1" Type="http://schemas.openxmlformats.org/officeDocument/2006/relationships/hyperlink" Target="#About!A1"/><Relationship Id="rId6" Type="http://schemas.openxmlformats.org/officeDocument/2006/relationships/hyperlink" Target="#About!A1"/><Relationship Id="rId5" Type="http://schemas.openxmlformats.org/officeDocument/2006/relationships/hyperlink" Target="#About!A1"/><Relationship Id="rId4" Type="http://schemas.openxmlformats.org/officeDocument/2006/relationships/hyperlink" Target="http://ec.europa.eu/intelligentenergy" TargetMode="External"/><Relationship Id="rId9"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hyperlink" Target="http://ec.europa.eu/intelligentenergy" TargetMode="External"/><Relationship Id="rId7" Type="http://schemas.openxmlformats.org/officeDocument/2006/relationships/image" Target="../media/image32.emf"/><Relationship Id="rId2" Type="http://schemas.openxmlformats.org/officeDocument/2006/relationships/hyperlink" Target="http://www.biograce.net/" TargetMode="External"/><Relationship Id="rId1" Type="http://schemas.openxmlformats.org/officeDocument/2006/relationships/image" Target="../media/image28.png"/><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s>
</file>

<file path=xl/drawings/_rels/drawing21.x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hyperlink" Target="#&#1050;&#1072;&#1090;&#1072;&#1083;&#1086;&#1075;!A1"/><Relationship Id="rId7" Type="http://schemas.openxmlformats.org/officeDocument/2006/relationships/image" Target="../media/image36.emf"/><Relationship Id="rId2" Type="http://schemas.openxmlformats.org/officeDocument/2006/relationships/hyperlink" Target="http://www.biograce.net/" TargetMode="External"/><Relationship Id="rId1" Type="http://schemas.openxmlformats.org/officeDocument/2006/relationships/hyperlink" Target="http://ec.europa.eu/intelligentenergy" TargetMode="External"/><Relationship Id="rId6" Type="http://schemas.openxmlformats.org/officeDocument/2006/relationships/image" Target="../media/image35.emf"/><Relationship Id="rId5" Type="http://schemas.openxmlformats.org/officeDocument/2006/relationships/image" Target="../media/image34.emf"/><Relationship Id="rId10" Type="http://schemas.openxmlformats.org/officeDocument/2006/relationships/image" Target="../media/image14.png"/><Relationship Id="rId4" Type="http://schemas.openxmlformats.org/officeDocument/2006/relationships/hyperlink" Target="#&#1054;&#1087;&#1080;&#1089;!A1"/><Relationship Id="rId9" Type="http://schemas.openxmlformats.org/officeDocument/2006/relationships/image" Target="../media/image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hyperlink" Target="http://www.biograce.net/" TargetMode="External"/><Relationship Id="rId7" Type="http://schemas.openxmlformats.org/officeDocument/2006/relationships/image" Target="../media/image42.emf"/><Relationship Id="rId2" Type="http://schemas.openxmlformats.org/officeDocument/2006/relationships/hyperlink" Target="http://ec.europa.eu/intelligentenergy" TargetMode="External"/><Relationship Id="rId1" Type="http://schemas.openxmlformats.org/officeDocument/2006/relationships/image" Target="../media/image38.png"/><Relationship Id="rId6" Type="http://schemas.openxmlformats.org/officeDocument/2006/relationships/image" Target="../media/image41.emf"/><Relationship Id="rId5" Type="http://schemas.openxmlformats.org/officeDocument/2006/relationships/image" Target="../media/image40.emf"/><Relationship Id="rId4" Type="http://schemas.openxmlformats.org/officeDocument/2006/relationships/image" Target="../media/image39.emf"/></Relationships>
</file>

<file path=xl/drawings/_rels/drawing23.xml.rels><?xml version="1.0" encoding="UTF-8" standalone="yes"?>
<Relationships xmlns="http://schemas.openxmlformats.org/package/2006/relationships"><Relationship Id="rId8" Type="http://schemas.openxmlformats.org/officeDocument/2006/relationships/image" Target="../media/image47.emf"/><Relationship Id="rId3" Type="http://schemas.openxmlformats.org/officeDocument/2006/relationships/hyperlink" Target="#&#1050;&#1072;&#1090;&#1072;&#1083;&#1086;&#1075;!A1"/><Relationship Id="rId7" Type="http://schemas.openxmlformats.org/officeDocument/2006/relationships/image" Target="../media/image46.emf"/><Relationship Id="rId2" Type="http://schemas.openxmlformats.org/officeDocument/2006/relationships/hyperlink" Target="http://ec.europa.eu/intelligentenergy" TargetMode="External"/><Relationship Id="rId1" Type="http://schemas.openxmlformats.org/officeDocument/2006/relationships/hyperlink" Target="http://www.biograce.net/" TargetMode="External"/><Relationship Id="rId6" Type="http://schemas.openxmlformats.org/officeDocument/2006/relationships/image" Target="../media/image45.emf"/><Relationship Id="rId5" Type="http://schemas.openxmlformats.org/officeDocument/2006/relationships/image" Target="../media/image44.emf"/><Relationship Id="rId10" Type="http://schemas.openxmlformats.org/officeDocument/2006/relationships/image" Target="../media/image14.png"/><Relationship Id="rId4" Type="http://schemas.openxmlformats.org/officeDocument/2006/relationships/hyperlink" Target="#&#1054;&#1087;&#1080;&#1089;!A1"/><Relationship Id="rId9" Type="http://schemas.openxmlformats.org/officeDocument/2006/relationships/image" Target="../media/image2.png"/></Relationships>
</file>

<file path=xl/drawings/_rels/drawing24.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hyperlink" Target="http://ec.europa.eu/intelligentenergy" TargetMode="External"/><Relationship Id="rId7" Type="http://schemas.openxmlformats.org/officeDocument/2006/relationships/image" Target="../media/image51.emf"/><Relationship Id="rId2" Type="http://schemas.openxmlformats.org/officeDocument/2006/relationships/hyperlink" Target="http://www.biograce.net/" TargetMode="External"/><Relationship Id="rId1" Type="http://schemas.openxmlformats.org/officeDocument/2006/relationships/image" Target="../media/image38.png"/><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25.xml.rels><?xml version="1.0" encoding="UTF-8" standalone="yes"?>
<Relationships xmlns="http://schemas.openxmlformats.org/package/2006/relationships"><Relationship Id="rId3" Type="http://schemas.openxmlformats.org/officeDocument/2006/relationships/hyperlink" Target="#Directory!A1"/><Relationship Id="rId2" Type="http://schemas.openxmlformats.org/officeDocument/2006/relationships/hyperlink" Target="http://ec.europa.eu/intelligentenergy" TargetMode="External"/><Relationship Id="rId1" Type="http://schemas.openxmlformats.org/officeDocument/2006/relationships/hyperlink" Target="http://www.biograce.net/"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http://www.biograce.net/" TargetMode="External"/><Relationship Id="rId2" Type="http://schemas.openxmlformats.org/officeDocument/2006/relationships/image" Target="../media/image54.png"/><Relationship Id="rId1" Type="http://schemas.openxmlformats.org/officeDocument/2006/relationships/image" Target="../media/image53.png"/><Relationship Id="rId5" Type="http://schemas.openxmlformats.org/officeDocument/2006/relationships/hyperlink" Target="#Directory!A1"/><Relationship Id="rId4" Type="http://schemas.openxmlformats.org/officeDocument/2006/relationships/hyperlink" Target="http://ec.europa.eu/intelligentenergy" TargetMode="External"/></Relationships>
</file>

<file path=xl/drawings/_rels/drawing27.xml.rels><?xml version="1.0" encoding="UTF-8" standalone="yes"?>
<Relationships xmlns="http://schemas.openxmlformats.org/package/2006/relationships"><Relationship Id="rId3" Type="http://schemas.openxmlformats.org/officeDocument/2006/relationships/hyperlink" Target="http://www.biograce.net/" TargetMode="External"/><Relationship Id="rId2" Type="http://schemas.openxmlformats.org/officeDocument/2006/relationships/image" Target="../media/image55.png"/><Relationship Id="rId1" Type="http://schemas.openxmlformats.org/officeDocument/2006/relationships/image" Target="../media/image53.png"/><Relationship Id="rId4" Type="http://schemas.openxmlformats.org/officeDocument/2006/relationships/hyperlink" Target="http://ec.europa.eu/intelligentenergy"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1054;&#1087;&#1080;&#1089;!A1"/><Relationship Id="rId2" Type="http://schemas.openxmlformats.org/officeDocument/2006/relationships/hyperlink" Target="#&#1050;&#1072;&#1090;&#1072;&#1083;&#1086;&#1075;!A1"/><Relationship Id="rId1" Type="http://schemas.openxmlformats.org/officeDocument/2006/relationships/hyperlink" Target="#Directory!A1"/><Relationship Id="rId6" Type="http://schemas.openxmlformats.org/officeDocument/2006/relationships/image" Target="../media/image2.png"/><Relationship Id="rId5" Type="http://schemas.openxmlformats.org/officeDocument/2006/relationships/hyperlink" Target="#&#1054;&#1087;&#1080;&#1089;!A1"/><Relationship Id="rId4" Type="http://schemas.openxmlformats.org/officeDocument/2006/relationships/hyperlink" Target="#&#1050;&#1072;&#1090;&#1072;&#1083;&#1086;&#1075;!A1"/></Relationships>
</file>

<file path=xl/drawings/_rels/drawing4.xml.rels><?xml version="1.0" encoding="UTF-8" standalone="yes"?>
<Relationships xmlns="http://schemas.openxmlformats.org/package/2006/relationships"><Relationship Id="rId3" Type="http://schemas.openxmlformats.org/officeDocument/2006/relationships/hyperlink" Target="http://ec.europa.eu/intelligentenergy" TargetMode="External"/><Relationship Id="rId2" Type="http://schemas.openxmlformats.org/officeDocument/2006/relationships/hyperlink" Target="http://www.biograce.net/" TargetMode="External"/><Relationship Id="rId1" Type="http://schemas.openxmlformats.org/officeDocument/2006/relationships/image" Target="../media/image5.png"/><Relationship Id="rId5" Type="http://schemas.openxmlformats.org/officeDocument/2006/relationships/hyperlink" Target="#Directory!A1"/><Relationship Id="rId4" Type="http://schemas.openxmlformats.org/officeDocument/2006/relationships/hyperlink" Target="#About!A1"/></Relationships>
</file>

<file path=xl/drawings/_rels/drawing5.xml.rels><?xml version="1.0" encoding="UTF-8" standalone="yes"?>
<Relationships xmlns="http://schemas.openxmlformats.org/package/2006/relationships"><Relationship Id="rId3" Type="http://schemas.openxmlformats.org/officeDocument/2006/relationships/hyperlink" Target="#&#1050;&#1072;&#1090;&#1072;&#1083;&#1086;&#1075;!A1"/><Relationship Id="rId2" Type="http://schemas.openxmlformats.org/officeDocument/2006/relationships/hyperlink" Target="#Directory!A1"/><Relationship Id="rId1" Type="http://schemas.openxmlformats.org/officeDocument/2006/relationships/hyperlink" Target="#About!A1"/><Relationship Id="rId5" Type="http://schemas.openxmlformats.org/officeDocument/2006/relationships/image" Target="../media/image2.png"/><Relationship Id="rId4" Type="http://schemas.openxmlformats.org/officeDocument/2006/relationships/hyperlink" Target="#&#1054;&#1087;&#1080;&#1089;!A1"/></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About!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1050;&#1072;&#1090;&#1072;&#1083;&#1086;&#1075;!A1"/><Relationship Id="rId2" Type="http://schemas.openxmlformats.org/officeDocument/2006/relationships/hyperlink" Target="#Directory!A1"/><Relationship Id="rId1" Type="http://schemas.openxmlformats.org/officeDocument/2006/relationships/hyperlink" Target="#About!A1"/><Relationship Id="rId5" Type="http://schemas.openxmlformats.org/officeDocument/2006/relationships/image" Target="../media/image2.png"/><Relationship Id="rId4" Type="http://schemas.openxmlformats.org/officeDocument/2006/relationships/hyperlink" Target="#&#1054;&#1087;&#1080;&#1089;!A1"/></Relationships>
</file>

<file path=xl/drawings/_rels/drawing8.xml.rels><?xml version="1.0" encoding="UTF-8" standalone="yes"?>
<Relationships xmlns="http://schemas.openxmlformats.org/package/2006/relationships"><Relationship Id="rId3" Type="http://schemas.openxmlformats.org/officeDocument/2006/relationships/hyperlink" Target="#Directory!A1"/><Relationship Id="rId2" Type="http://schemas.openxmlformats.org/officeDocument/2006/relationships/hyperlink" Target="#About!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1054;&#1087;&#1080;&#1089;!A1"/><Relationship Id="rId3" Type="http://schemas.openxmlformats.org/officeDocument/2006/relationships/image" Target="../media/image9.png"/><Relationship Id="rId7" Type="http://schemas.openxmlformats.org/officeDocument/2006/relationships/hyperlink" Target="#&#1050;&#1072;&#1090;&#1072;&#1083;&#1086;&#1075;!A1"/><Relationship Id="rId2" Type="http://schemas.openxmlformats.org/officeDocument/2006/relationships/hyperlink" Target="#Directory!A1"/><Relationship Id="rId1" Type="http://schemas.openxmlformats.org/officeDocument/2006/relationships/hyperlink" Target="#About!A1"/><Relationship Id="rId6" Type="http://schemas.openxmlformats.org/officeDocument/2006/relationships/hyperlink" Target="#Directory!A1"/><Relationship Id="rId11" Type="http://schemas.openxmlformats.org/officeDocument/2006/relationships/image" Target="../media/image2.png"/><Relationship Id="rId5" Type="http://schemas.openxmlformats.org/officeDocument/2006/relationships/hyperlink" Target="#About!A1"/><Relationship Id="rId10" Type="http://schemas.openxmlformats.org/officeDocument/2006/relationships/hyperlink" Target="#&#1054;&#1087;&#1080;&#1089;!A1"/><Relationship Id="rId4" Type="http://schemas.openxmlformats.org/officeDocument/2006/relationships/hyperlink" Target="#Directory!A1"/><Relationship Id="rId9" Type="http://schemas.openxmlformats.org/officeDocument/2006/relationships/hyperlink" Target="#&#1050;&#1072;&#1090;&#1072;&#1083;&#1086;&#1075;!A1"/></Relationships>
</file>

<file path=xl/drawings/drawing1.xml><?xml version="1.0" encoding="utf-8"?>
<xdr:wsDr xmlns:xdr="http://schemas.openxmlformats.org/drawingml/2006/spreadsheetDrawing" xmlns:a="http://schemas.openxmlformats.org/drawingml/2006/main">
  <xdr:twoCellAnchor>
    <xdr:from>
      <xdr:col>0</xdr:col>
      <xdr:colOff>8467</xdr:colOff>
      <xdr:row>88</xdr:row>
      <xdr:rowOff>0</xdr:rowOff>
    </xdr:from>
    <xdr:to>
      <xdr:col>3</xdr:col>
      <xdr:colOff>1812502</xdr:colOff>
      <xdr:row>92</xdr:row>
      <xdr:rowOff>16510</xdr:rowOff>
    </xdr:to>
    <xdr:pic>
      <xdr:nvPicPr>
        <xdr:cNvPr id="3" name="Picture 16" descr="IEE bann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467" y="13601700"/>
          <a:ext cx="2356485" cy="6642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6974417</xdr:colOff>
      <xdr:row>0</xdr:row>
      <xdr:rowOff>836084</xdr:rowOff>
    </xdr:from>
    <xdr:to>
      <xdr:col>3</xdr:col>
      <xdr:colOff>7609417</xdr:colOff>
      <xdr:row>0</xdr:row>
      <xdr:rowOff>1058333</xdr:rowOff>
    </xdr:to>
    <xdr:sp macro="" textlink="">
      <xdr:nvSpPr>
        <xdr:cNvPr id="5" name="Прямоугольник 4">
          <a:hlinkClick xmlns:r="http://schemas.openxmlformats.org/officeDocument/2006/relationships" r:id="rId2"/>
        </xdr:cNvPr>
        <xdr:cNvSpPr/>
      </xdr:nvSpPr>
      <xdr:spPr>
        <a:xfrm>
          <a:off x="9239250" y="836084"/>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3</xdr:col>
      <xdr:colOff>6297083</xdr:colOff>
      <xdr:row>0</xdr:row>
      <xdr:rowOff>814917</xdr:rowOff>
    </xdr:from>
    <xdr:to>
      <xdr:col>3</xdr:col>
      <xdr:colOff>6815666</xdr:colOff>
      <xdr:row>0</xdr:row>
      <xdr:rowOff>1037167</xdr:rowOff>
    </xdr:to>
    <xdr:sp macro="" textlink="">
      <xdr:nvSpPr>
        <xdr:cNvPr id="6" name="Прямоугольник 5">
          <a:hlinkClick xmlns:r="http://schemas.openxmlformats.org/officeDocument/2006/relationships" r:id="rId3"/>
        </xdr:cNvPr>
        <xdr:cNvSpPr/>
      </xdr:nvSpPr>
      <xdr:spPr>
        <a:xfrm>
          <a:off x="8561916" y="814917"/>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0</xdr:colOff>
      <xdr:row>0</xdr:row>
      <xdr:rowOff>0</xdr:rowOff>
    </xdr:from>
    <xdr:to>
      <xdr:col>4</xdr:col>
      <xdr:colOff>8166</xdr:colOff>
      <xdr:row>0</xdr:row>
      <xdr:rowOff>1057143</xdr:rowOff>
    </xdr:to>
    <xdr:pic>
      <xdr:nvPicPr>
        <xdr:cNvPr id="7" name="Рисунок 6" descr="биогрейс титул.bmp"/>
        <xdr:cNvPicPr>
          <a:picLocks noChangeAspect="1"/>
        </xdr:cNvPicPr>
      </xdr:nvPicPr>
      <xdr:blipFill>
        <a:blip xmlns:r="http://schemas.openxmlformats.org/officeDocument/2006/relationships" r:embed="rId4"/>
        <a:stretch>
          <a:fillRect/>
        </a:stretch>
      </xdr:blipFill>
      <xdr:spPr>
        <a:xfrm>
          <a:off x="0" y="0"/>
          <a:ext cx="10876191" cy="1057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742950</xdr:colOff>
      <xdr:row>1</xdr:row>
      <xdr:rowOff>9525</xdr:rowOff>
    </xdr:to>
    <xdr:pic>
      <xdr:nvPicPr>
        <xdr:cNvPr id="39286" name="Picture 8"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220700" cy="1314450"/>
        </a:xfrm>
        <a:prstGeom prst="rect">
          <a:avLst/>
        </a:prstGeom>
        <a:noFill/>
        <a:ln w="9525">
          <a:noFill/>
          <a:miter lim="800000"/>
          <a:headEnd/>
          <a:tailEnd/>
        </a:ln>
      </xdr:spPr>
    </xdr:pic>
    <xdr:clientData/>
  </xdr:twoCellAnchor>
  <xdr:twoCellAnchor>
    <xdr:from>
      <xdr:col>13</xdr:col>
      <xdr:colOff>5556</xdr:colOff>
      <xdr:row>0</xdr:row>
      <xdr:rowOff>930275</xdr:rowOff>
    </xdr:from>
    <xdr:to>
      <xdr:col>13</xdr:col>
      <xdr:colOff>5556</xdr:colOff>
      <xdr:row>0</xdr:row>
      <xdr:rowOff>1285875</xdr:rowOff>
    </xdr:to>
    <xdr:sp macro="" textlink="">
      <xdr:nvSpPr>
        <xdr:cNvPr id="39269" name="WordArt 9">
          <a:hlinkClick xmlns:r="http://schemas.openxmlformats.org/officeDocument/2006/relationships" r:id="rId2"/>
        </xdr:cNvPr>
        <xdr:cNvSpPr>
          <a:spLocks noChangeArrowheads="1" noChangeShapeType="1" noTextEdit="1"/>
        </xdr:cNvSpPr>
      </xdr:nvSpPr>
      <xdr:spPr bwMode="auto">
        <a:xfrm>
          <a:off x="15151100" y="939800"/>
          <a:ext cx="0" cy="3556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13</xdr:col>
      <xdr:colOff>5556</xdr:colOff>
      <xdr:row>0</xdr:row>
      <xdr:rowOff>850900</xdr:rowOff>
    </xdr:from>
    <xdr:to>
      <xdr:col>13</xdr:col>
      <xdr:colOff>5556</xdr:colOff>
      <xdr:row>0</xdr:row>
      <xdr:rowOff>1295400</xdr:rowOff>
    </xdr:to>
    <xdr:sp macro="" textlink="">
      <xdr:nvSpPr>
        <xdr:cNvPr id="39270" name="WordArt 10">
          <a:hlinkClick xmlns:r="http://schemas.openxmlformats.org/officeDocument/2006/relationships" r:id="rId3"/>
        </xdr:cNvPr>
        <xdr:cNvSpPr>
          <a:spLocks noChangeArrowheads="1" noChangeShapeType="1" noTextEdit="1"/>
        </xdr:cNvSpPr>
      </xdr:nvSpPr>
      <xdr:spPr bwMode="auto">
        <a:xfrm>
          <a:off x="15151100" y="850900"/>
          <a:ext cx="0" cy="4445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28</xdr:col>
      <xdr:colOff>95250</xdr:colOff>
      <xdr:row>57</xdr:row>
      <xdr:rowOff>66675</xdr:rowOff>
    </xdr:from>
    <xdr:to>
      <xdr:col>32</xdr:col>
      <xdr:colOff>1181100</xdr:colOff>
      <xdr:row>61</xdr:row>
      <xdr:rowOff>238125</xdr:rowOff>
    </xdr:to>
    <xdr:pic>
      <xdr:nvPicPr>
        <xdr:cNvPr id="39289" name="Picture 183"/>
        <xdr:cNvPicPr>
          <a:picLocks noChangeAspect="1" noChangeArrowheads="1"/>
        </xdr:cNvPicPr>
      </xdr:nvPicPr>
      <xdr:blipFill>
        <a:blip xmlns:r="http://schemas.openxmlformats.org/officeDocument/2006/relationships" r:embed="rId4"/>
        <a:srcRect/>
        <a:stretch>
          <a:fillRect/>
        </a:stretch>
      </xdr:blipFill>
      <xdr:spPr bwMode="auto">
        <a:xfrm>
          <a:off x="27298650" y="15201900"/>
          <a:ext cx="4229100" cy="981075"/>
        </a:xfrm>
        <a:prstGeom prst="rect">
          <a:avLst/>
        </a:prstGeom>
        <a:noFill/>
        <a:ln w="9525">
          <a:noFill/>
          <a:miter lim="800000"/>
          <a:headEnd/>
          <a:tailEnd/>
        </a:ln>
      </xdr:spPr>
    </xdr:pic>
    <xdr:clientData/>
  </xdr:twoCellAnchor>
  <xdr:twoCellAnchor>
    <xdr:from>
      <xdr:col>10</xdr:col>
      <xdr:colOff>279400</xdr:colOff>
      <xdr:row>0</xdr:row>
      <xdr:rowOff>850900</xdr:rowOff>
    </xdr:from>
    <xdr:to>
      <xdr:col>10</xdr:col>
      <xdr:colOff>279400</xdr:colOff>
      <xdr:row>1</xdr:row>
      <xdr:rowOff>0</xdr:rowOff>
    </xdr:to>
    <xdr:sp macro="" textlink="">
      <xdr:nvSpPr>
        <xdr:cNvPr id="39273" name="WordArt 3">
          <a:hlinkClick xmlns:r="http://schemas.openxmlformats.org/officeDocument/2006/relationships" r:id="rId5"/>
        </xdr:cNvPr>
        <xdr:cNvSpPr>
          <a:spLocks noChangeArrowheads="1" noChangeShapeType="1" noTextEdit="1"/>
        </xdr:cNvSpPr>
      </xdr:nvSpPr>
      <xdr:spPr bwMode="auto">
        <a:xfrm>
          <a:off x="12814300" y="850900"/>
          <a:ext cx="0" cy="4445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5556</xdr:colOff>
      <xdr:row>0</xdr:row>
      <xdr:rowOff>922655</xdr:rowOff>
    </xdr:from>
    <xdr:to>
      <xdr:col>13</xdr:col>
      <xdr:colOff>5556</xdr:colOff>
      <xdr:row>0</xdr:row>
      <xdr:rowOff>1278255</xdr:rowOff>
    </xdr:to>
    <xdr:sp macro="" textlink="">
      <xdr:nvSpPr>
        <xdr:cNvPr id="2" name="WordArt 9">
          <a:hlinkClick xmlns:r="http://schemas.openxmlformats.org/officeDocument/2006/relationships" r:id="rId1"/>
        </xdr:cNvPr>
        <xdr:cNvSpPr>
          <a:spLocks noChangeArrowheads="1" noChangeShapeType="1" noTextEdit="1"/>
        </xdr:cNvSpPr>
      </xdr:nvSpPr>
      <xdr:spPr bwMode="auto">
        <a:xfrm>
          <a:off x="9911556" y="160655"/>
          <a:ext cx="0" cy="31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13</xdr:col>
      <xdr:colOff>5556</xdr:colOff>
      <xdr:row>0</xdr:row>
      <xdr:rowOff>850900</xdr:rowOff>
    </xdr:from>
    <xdr:to>
      <xdr:col>13</xdr:col>
      <xdr:colOff>5556</xdr:colOff>
      <xdr:row>0</xdr:row>
      <xdr:rowOff>1295400</xdr:rowOff>
    </xdr:to>
    <xdr:sp macro="" textlink="">
      <xdr:nvSpPr>
        <xdr:cNvPr id="3" name="WordArt 10">
          <a:hlinkClick xmlns:r="http://schemas.openxmlformats.org/officeDocument/2006/relationships" r:id="rId2"/>
        </xdr:cNvPr>
        <xdr:cNvSpPr>
          <a:spLocks noChangeArrowheads="1" noChangeShapeType="1" noTextEdit="1"/>
        </xdr:cNvSpPr>
      </xdr:nvSpPr>
      <xdr:spPr bwMode="auto">
        <a:xfrm>
          <a:off x="9911556"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28</xdr:col>
      <xdr:colOff>99060</xdr:colOff>
      <xdr:row>57</xdr:row>
      <xdr:rowOff>68580</xdr:rowOff>
    </xdr:from>
    <xdr:to>
      <xdr:col>33</xdr:col>
      <xdr:colOff>0</xdr:colOff>
      <xdr:row>62</xdr:row>
      <xdr:rowOff>0</xdr:rowOff>
    </xdr:to>
    <xdr:pic>
      <xdr:nvPicPr>
        <xdr:cNvPr id="4" name="Picture 18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1435060" y="9298305"/>
          <a:ext cx="3710940" cy="7410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0</xdr:colOff>
      <xdr:row>0</xdr:row>
      <xdr:rowOff>920750</xdr:rowOff>
    </xdr:from>
    <xdr:to>
      <xdr:col>10</xdr:col>
      <xdr:colOff>156928</xdr:colOff>
      <xdr:row>0</xdr:row>
      <xdr:rowOff>1286228</xdr:rowOff>
    </xdr:to>
    <xdr:sp macro="" textlink="">
      <xdr:nvSpPr>
        <xdr:cNvPr id="5" name="WordArt 15">
          <a:hlinkClick xmlns:r="http://schemas.openxmlformats.org/officeDocument/2006/relationships" r:id="rId4"/>
        </xdr:cNvPr>
        <xdr:cNvSpPr>
          <a:spLocks noChangeArrowheads="1" noChangeShapeType="1"/>
        </xdr:cNvSpPr>
      </xdr:nvSpPr>
      <xdr:spPr bwMode="auto">
        <a:xfrm>
          <a:off x="6858000" y="158750"/>
          <a:ext cx="918928" cy="3528"/>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endParaRPr lang="en-US" sz="1000" b="0" i="0" u="sng" strike="sngStrike">
            <a:solidFill>
              <a:srgbClr val="000000"/>
            </a:solidFill>
            <a:latin typeface="Arial Black"/>
            <a:ea typeface="Arial Black"/>
            <a:cs typeface="Arial Black"/>
          </a:endParaRPr>
        </a:p>
      </xdr:txBody>
    </xdr:sp>
    <xdr:clientData/>
  </xdr:twoCellAnchor>
  <xdr:twoCellAnchor>
    <xdr:from>
      <xdr:col>10</xdr:col>
      <xdr:colOff>279400</xdr:colOff>
      <xdr:row>0</xdr:row>
      <xdr:rowOff>850900</xdr:rowOff>
    </xdr:from>
    <xdr:to>
      <xdr:col>10</xdr:col>
      <xdr:colOff>279400</xdr:colOff>
      <xdr:row>1</xdr:row>
      <xdr:rowOff>0</xdr:rowOff>
    </xdr:to>
    <xdr:sp macro="" textlink="">
      <xdr:nvSpPr>
        <xdr:cNvPr id="6" name="WordArt 3">
          <a:hlinkClick xmlns:r="http://schemas.openxmlformats.org/officeDocument/2006/relationships" r:id="rId5"/>
        </xdr:cNvPr>
        <xdr:cNvSpPr>
          <a:spLocks noChangeArrowheads="1" noChangeShapeType="1" noTextEdit="1"/>
        </xdr:cNvSpPr>
      </xdr:nvSpPr>
      <xdr:spPr bwMode="auto">
        <a:xfrm>
          <a:off x="7899400"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oneCellAnchor>
    <xdr:from>
      <xdr:col>28</xdr:col>
      <xdr:colOff>91440</xdr:colOff>
      <xdr:row>57</xdr:row>
      <xdr:rowOff>59055</xdr:rowOff>
    </xdr:from>
    <xdr:ext cx="4366260" cy="433042"/>
    <xdr:sp macro="" textlink="">
      <xdr:nvSpPr>
        <xdr:cNvPr id="8" name="TextBox 7"/>
        <xdr:cNvSpPr txBox="1"/>
      </xdr:nvSpPr>
      <xdr:spPr>
        <a:xfrm>
          <a:off x="21427440" y="9288780"/>
          <a:ext cx="4366260" cy="4330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u-RU" sz="1100" b="1" cap="all">
              <a:solidFill>
                <a:schemeClr val="tx1"/>
              </a:solidFill>
            </a:rPr>
            <a:t>Рівняння 11.6</a:t>
          </a:r>
          <a:br>
            <a:rPr lang="ru-RU" sz="1100" b="1" cap="all">
              <a:solidFill>
                <a:schemeClr val="tx1"/>
              </a:solidFill>
            </a:rPr>
          </a:br>
          <a:r>
            <a:rPr lang="en-US" sz="1100" b="1" cap="all">
              <a:solidFill>
                <a:schemeClr val="tx1"/>
              </a:solidFill>
            </a:rPr>
            <a:t>N </a:t>
          </a:r>
          <a:r>
            <a:rPr lang="uk-UA" sz="1100" b="1" cap="all">
              <a:solidFill>
                <a:schemeClr val="tx1"/>
              </a:solidFill>
            </a:rPr>
            <a:t>з</a:t>
          </a:r>
          <a:r>
            <a:rPr lang="uk-UA" sz="1100" b="1" cap="all" baseline="0">
              <a:solidFill>
                <a:schemeClr val="tx1"/>
              </a:solidFill>
            </a:rPr>
            <a:t> відходів культур та кормове</a:t>
          </a:r>
          <a:r>
            <a:rPr lang="en-US" sz="1100" b="1" cap="all" baseline="0">
              <a:solidFill>
                <a:schemeClr val="tx1"/>
              </a:solidFill>
            </a:rPr>
            <a:t>/</a:t>
          </a:r>
          <a:r>
            <a:rPr lang="uk-UA" sz="1100" b="1" cap="all" baseline="0">
              <a:solidFill>
                <a:schemeClr val="tx1"/>
              </a:solidFill>
            </a:rPr>
            <a:t>пасовищне оновлення (Метод.1)</a:t>
          </a:r>
          <a:endParaRPr lang="ru-RU" sz="1100" b="1" cap="all">
            <a:solidFill>
              <a:schemeClr val="tx1"/>
            </a:solidFill>
          </a:endParaRPr>
        </a:p>
      </xdr:txBody>
    </xdr:sp>
    <xdr:clientData/>
  </xdr:oneCellAnchor>
  <xdr:twoCellAnchor>
    <xdr:from>
      <xdr:col>6</xdr:col>
      <xdr:colOff>1125009</xdr:colOff>
      <xdr:row>0</xdr:row>
      <xdr:rowOff>878419</xdr:rowOff>
    </xdr:from>
    <xdr:to>
      <xdr:col>7</xdr:col>
      <xdr:colOff>540809</xdr:colOff>
      <xdr:row>0</xdr:row>
      <xdr:rowOff>1100668</xdr:rowOff>
    </xdr:to>
    <xdr:sp macro="" textlink="">
      <xdr:nvSpPr>
        <xdr:cNvPr id="9" name="Прямоугольник 8">
          <a:hlinkClick xmlns:r="http://schemas.openxmlformats.org/officeDocument/2006/relationships" r:id="rId6"/>
        </xdr:cNvPr>
        <xdr:cNvSpPr/>
      </xdr:nvSpPr>
      <xdr:spPr>
        <a:xfrm>
          <a:off x="9011709" y="878419"/>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6</xdr:col>
      <xdr:colOff>447675</xdr:colOff>
      <xdr:row>0</xdr:row>
      <xdr:rowOff>857252</xdr:rowOff>
    </xdr:from>
    <xdr:to>
      <xdr:col>6</xdr:col>
      <xdr:colOff>966258</xdr:colOff>
      <xdr:row>0</xdr:row>
      <xdr:rowOff>1079502</xdr:rowOff>
    </xdr:to>
    <xdr:sp macro="" textlink="">
      <xdr:nvSpPr>
        <xdr:cNvPr id="10" name="Прямоугольник 9">
          <a:hlinkClick xmlns:r="http://schemas.openxmlformats.org/officeDocument/2006/relationships" r:id="rId7"/>
        </xdr:cNvPr>
        <xdr:cNvSpPr/>
      </xdr:nvSpPr>
      <xdr:spPr>
        <a:xfrm>
          <a:off x="8334375" y="857252"/>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1</xdr:colOff>
      <xdr:row>0</xdr:row>
      <xdr:rowOff>1</xdr:rowOff>
    </xdr:from>
    <xdr:to>
      <xdr:col>9</xdr:col>
      <xdr:colOff>4026</xdr:colOff>
      <xdr:row>0</xdr:row>
      <xdr:rowOff>1038225</xdr:rowOff>
    </xdr:to>
    <xdr:pic>
      <xdr:nvPicPr>
        <xdr:cNvPr id="11" name="Рисунок 10" descr="биогрейс титул.bmp"/>
        <xdr:cNvPicPr>
          <a:picLocks noChangeAspect="1"/>
        </xdr:cNvPicPr>
      </xdr:nvPicPr>
      <xdr:blipFill>
        <a:blip xmlns:r="http://schemas.openxmlformats.org/officeDocument/2006/relationships" r:embed="rId8"/>
        <a:stretch>
          <a:fillRect/>
        </a:stretch>
      </xdr:blipFill>
      <xdr:spPr>
        <a:xfrm>
          <a:off x="1" y="1"/>
          <a:ext cx="10681550" cy="10382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742950</xdr:colOff>
      <xdr:row>1</xdr:row>
      <xdr:rowOff>9525</xdr:rowOff>
    </xdr:to>
    <xdr:pic>
      <xdr:nvPicPr>
        <xdr:cNvPr id="47205" name="Picture 8"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220700" cy="1314450"/>
        </a:xfrm>
        <a:prstGeom prst="rect">
          <a:avLst/>
        </a:prstGeom>
        <a:noFill/>
        <a:ln w="9525">
          <a:noFill/>
          <a:miter lim="800000"/>
          <a:headEnd/>
          <a:tailEnd/>
        </a:ln>
      </xdr:spPr>
    </xdr:pic>
    <xdr:clientData/>
  </xdr:twoCellAnchor>
  <xdr:twoCellAnchor>
    <xdr:from>
      <xdr:col>13</xdr:col>
      <xdr:colOff>5556</xdr:colOff>
      <xdr:row>0</xdr:row>
      <xdr:rowOff>930275</xdr:rowOff>
    </xdr:from>
    <xdr:to>
      <xdr:col>13</xdr:col>
      <xdr:colOff>5556</xdr:colOff>
      <xdr:row>0</xdr:row>
      <xdr:rowOff>1285875</xdr:rowOff>
    </xdr:to>
    <xdr:sp macro="" textlink="">
      <xdr:nvSpPr>
        <xdr:cNvPr id="47188" name="WordArt 9">
          <a:hlinkClick xmlns:r="http://schemas.openxmlformats.org/officeDocument/2006/relationships" r:id="rId2"/>
        </xdr:cNvPr>
        <xdr:cNvSpPr>
          <a:spLocks noChangeArrowheads="1" noChangeShapeType="1" noTextEdit="1"/>
        </xdr:cNvSpPr>
      </xdr:nvSpPr>
      <xdr:spPr bwMode="auto">
        <a:xfrm>
          <a:off x="15151100" y="939800"/>
          <a:ext cx="0" cy="3556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13</xdr:col>
      <xdr:colOff>5556</xdr:colOff>
      <xdr:row>0</xdr:row>
      <xdr:rowOff>850900</xdr:rowOff>
    </xdr:from>
    <xdr:to>
      <xdr:col>13</xdr:col>
      <xdr:colOff>5556</xdr:colOff>
      <xdr:row>0</xdr:row>
      <xdr:rowOff>1295400</xdr:rowOff>
    </xdr:to>
    <xdr:sp macro="" textlink="">
      <xdr:nvSpPr>
        <xdr:cNvPr id="47189" name="WordArt 10">
          <a:hlinkClick xmlns:r="http://schemas.openxmlformats.org/officeDocument/2006/relationships" r:id="rId3"/>
        </xdr:cNvPr>
        <xdr:cNvSpPr>
          <a:spLocks noChangeArrowheads="1" noChangeShapeType="1" noTextEdit="1"/>
        </xdr:cNvSpPr>
      </xdr:nvSpPr>
      <xdr:spPr bwMode="auto">
        <a:xfrm>
          <a:off x="15151100" y="850900"/>
          <a:ext cx="0" cy="4445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28</xdr:col>
      <xdr:colOff>95250</xdr:colOff>
      <xdr:row>57</xdr:row>
      <xdr:rowOff>66675</xdr:rowOff>
    </xdr:from>
    <xdr:to>
      <xdr:col>32</xdr:col>
      <xdr:colOff>1181100</xdr:colOff>
      <xdr:row>61</xdr:row>
      <xdr:rowOff>238125</xdr:rowOff>
    </xdr:to>
    <xdr:pic>
      <xdr:nvPicPr>
        <xdr:cNvPr id="47208" name="Picture 183"/>
        <xdr:cNvPicPr>
          <a:picLocks noChangeAspect="1" noChangeArrowheads="1"/>
        </xdr:cNvPicPr>
      </xdr:nvPicPr>
      <xdr:blipFill>
        <a:blip xmlns:r="http://schemas.openxmlformats.org/officeDocument/2006/relationships" r:embed="rId4"/>
        <a:srcRect/>
        <a:stretch>
          <a:fillRect/>
        </a:stretch>
      </xdr:blipFill>
      <xdr:spPr bwMode="auto">
        <a:xfrm>
          <a:off x="27298650" y="15201900"/>
          <a:ext cx="4229100" cy="981075"/>
        </a:xfrm>
        <a:prstGeom prst="rect">
          <a:avLst/>
        </a:prstGeom>
        <a:noFill/>
        <a:ln w="9525">
          <a:noFill/>
          <a:miter lim="800000"/>
          <a:headEnd/>
          <a:tailEnd/>
        </a:ln>
      </xdr:spPr>
    </xdr:pic>
    <xdr:clientData/>
  </xdr:twoCellAnchor>
  <xdr:twoCellAnchor>
    <xdr:from>
      <xdr:col>10</xdr:col>
      <xdr:colOff>279400</xdr:colOff>
      <xdr:row>0</xdr:row>
      <xdr:rowOff>850900</xdr:rowOff>
    </xdr:from>
    <xdr:to>
      <xdr:col>10</xdr:col>
      <xdr:colOff>279400</xdr:colOff>
      <xdr:row>1</xdr:row>
      <xdr:rowOff>0</xdr:rowOff>
    </xdr:to>
    <xdr:sp macro="" textlink="">
      <xdr:nvSpPr>
        <xdr:cNvPr id="47192" name="WordArt 3">
          <a:hlinkClick xmlns:r="http://schemas.openxmlformats.org/officeDocument/2006/relationships" r:id="rId5"/>
        </xdr:cNvPr>
        <xdr:cNvSpPr>
          <a:spLocks noChangeArrowheads="1" noChangeShapeType="1" noTextEdit="1"/>
        </xdr:cNvSpPr>
      </xdr:nvSpPr>
      <xdr:spPr bwMode="auto">
        <a:xfrm>
          <a:off x="12814300" y="850900"/>
          <a:ext cx="0" cy="4445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418329</xdr:colOff>
      <xdr:row>7</xdr:row>
      <xdr:rowOff>152399</xdr:rowOff>
    </xdr:to>
    <xdr:pic>
      <xdr:nvPicPr>
        <xdr:cNvPr id="3" name="Рисунок 2" descr="биогрейс титул.bmp"/>
        <xdr:cNvPicPr>
          <a:picLocks noChangeAspect="1"/>
        </xdr:cNvPicPr>
      </xdr:nvPicPr>
      <xdr:blipFill>
        <a:blip xmlns:r="http://schemas.openxmlformats.org/officeDocument/2006/relationships" r:embed="rId1"/>
        <a:stretch>
          <a:fillRect/>
        </a:stretch>
      </xdr:blipFill>
      <xdr:spPr>
        <a:xfrm>
          <a:off x="0" y="0"/>
          <a:ext cx="13229454" cy="12858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407194</xdr:colOff>
      <xdr:row>7</xdr:row>
      <xdr:rowOff>119063</xdr:rowOff>
    </xdr:to>
    <xdr:pic>
      <xdr:nvPicPr>
        <xdr:cNvPr id="7" name="Picture 8"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208794" cy="1319213"/>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584200</xdr:colOff>
      <xdr:row>1</xdr:row>
      <xdr:rowOff>9525</xdr:rowOff>
    </xdr:from>
    <xdr:to>
      <xdr:col>12</xdr:col>
      <xdr:colOff>69785</xdr:colOff>
      <xdr:row>1</xdr:row>
      <xdr:rowOff>9525</xdr:rowOff>
    </xdr:to>
    <xdr:sp macro="" textlink="">
      <xdr:nvSpPr>
        <xdr:cNvPr id="25151" name="WordArt 15">
          <a:hlinkClick xmlns:r="http://schemas.openxmlformats.org/officeDocument/2006/relationships" r:id="rId1"/>
        </xdr:cNvPr>
        <xdr:cNvSpPr>
          <a:spLocks noChangeArrowheads="1" noChangeShapeType="1" noTextEdit="1"/>
        </xdr:cNvSpPr>
      </xdr:nvSpPr>
      <xdr:spPr bwMode="auto">
        <a:xfrm>
          <a:off x="10067925" y="171450"/>
          <a:ext cx="723900" cy="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About</a:t>
          </a:r>
        </a:p>
      </xdr:txBody>
    </xdr:sp>
    <xdr:clientData/>
  </xdr:twoCellAnchor>
  <xdr:twoCellAnchor>
    <xdr:from>
      <xdr:col>13</xdr:col>
      <xdr:colOff>0</xdr:colOff>
      <xdr:row>1</xdr:row>
      <xdr:rowOff>3175</xdr:rowOff>
    </xdr:from>
    <xdr:to>
      <xdr:col>13</xdr:col>
      <xdr:colOff>862048</xdr:colOff>
      <xdr:row>1</xdr:row>
      <xdr:rowOff>0</xdr:rowOff>
    </xdr:to>
    <xdr:sp macro="" textlink="">
      <xdr:nvSpPr>
        <xdr:cNvPr id="25152" name="WordArt 16">
          <a:hlinkClick xmlns:r="http://schemas.openxmlformats.org/officeDocument/2006/relationships" r:id="rId2"/>
        </xdr:cNvPr>
        <xdr:cNvSpPr>
          <a:spLocks noChangeArrowheads="1" noChangeShapeType="1" noTextEdit="1"/>
        </xdr:cNvSpPr>
      </xdr:nvSpPr>
      <xdr:spPr bwMode="auto">
        <a:xfrm>
          <a:off x="10887075" y="171450"/>
          <a:ext cx="857250" cy="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Directory</a:t>
          </a:r>
        </a:p>
      </xdr:txBody>
    </xdr:sp>
    <xdr:clientData/>
  </xdr:twoCellAnchor>
  <xdr:twoCellAnchor>
    <xdr:from>
      <xdr:col>10</xdr:col>
      <xdr:colOff>317500</xdr:colOff>
      <xdr:row>0</xdr:row>
      <xdr:rowOff>0</xdr:rowOff>
    </xdr:from>
    <xdr:to>
      <xdr:col>13</xdr:col>
      <xdr:colOff>996837</xdr:colOff>
      <xdr:row>1</xdr:row>
      <xdr:rowOff>0</xdr:rowOff>
    </xdr:to>
    <xdr:sp macro="" textlink="">
      <xdr:nvSpPr>
        <xdr:cNvPr id="25250" name="WordArt 17">
          <a:hlinkClick xmlns:r="http://schemas.openxmlformats.org/officeDocument/2006/relationships" r:id="rId3"/>
        </xdr:cNvPr>
        <xdr:cNvSpPr>
          <a:spLocks noChangeArrowheads="1" noChangeShapeType="1" noTextEdit="1"/>
        </xdr:cNvSpPr>
      </xdr:nvSpPr>
      <xdr:spPr bwMode="auto">
        <a:xfrm>
          <a:off x="11188700" y="0"/>
          <a:ext cx="23622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10</xdr:col>
      <xdr:colOff>69057</xdr:colOff>
      <xdr:row>0</xdr:row>
      <xdr:rowOff>508000</xdr:rowOff>
    </xdr:from>
    <xdr:to>
      <xdr:col>11</xdr:col>
      <xdr:colOff>998589</xdr:colOff>
      <xdr:row>2</xdr:row>
      <xdr:rowOff>23813</xdr:rowOff>
    </xdr:to>
    <xdr:sp macro="" textlink="">
      <xdr:nvSpPr>
        <xdr:cNvPr id="25251" name="WordArt 18">
          <a:hlinkClick xmlns:r="http://schemas.openxmlformats.org/officeDocument/2006/relationships" r:id="rId4"/>
        </xdr:cNvPr>
        <xdr:cNvSpPr>
          <a:spLocks noChangeArrowheads="1" noChangeShapeType="1" noTextEdit="1"/>
        </xdr:cNvSpPr>
      </xdr:nvSpPr>
      <xdr:spPr bwMode="auto">
        <a:xfrm>
          <a:off x="12261057" y="508000"/>
          <a:ext cx="1643907" cy="1004094"/>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7</xdr:col>
      <xdr:colOff>95251</xdr:colOff>
      <xdr:row>0</xdr:row>
      <xdr:rowOff>1111251</xdr:rowOff>
    </xdr:from>
    <xdr:to>
      <xdr:col>7</xdr:col>
      <xdr:colOff>730251</xdr:colOff>
      <xdr:row>1</xdr:row>
      <xdr:rowOff>0</xdr:rowOff>
    </xdr:to>
    <xdr:sp macro="" textlink="">
      <xdr:nvSpPr>
        <xdr:cNvPr id="8" name="Прямоугольник 7">
          <a:hlinkClick xmlns:r="http://schemas.openxmlformats.org/officeDocument/2006/relationships" r:id="rId5"/>
        </xdr:cNvPr>
        <xdr:cNvSpPr/>
      </xdr:nvSpPr>
      <xdr:spPr>
        <a:xfrm>
          <a:off x="10456334" y="1111251"/>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5</xdr:col>
      <xdr:colOff>1090083</xdr:colOff>
      <xdr:row>0</xdr:row>
      <xdr:rowOff>1090084</xdr:rowOff>
    </xdr:from>
    <xdr:to>
      <xdr:col>6</xdr:col>
      <xdr:colOff>127000</xdr:colOff>
      <xdr:row>0</xdr:row>
      <xdr:rowOff>1312334</xdr:rowOff>
    </xdr:to>
    <xdr:sp macro="" textlink="">
      <xdr:nvSpPr>
        <xdr:cNvPr id="9" name="Прямоугольник 8">
          <a:hlinkClick xmlns:r="http://schemas.openxmlformats.org/officeDocument/2006/relationships" r:id="rId6"/>
        </xdr:cNvPr>
        <xdr:cNvSpPr/>
      </xdr:nvSpPr>
      <xdr:spPr>
        <a:xfrm>
          <a:off x="9779000" y="1090084"/>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2</xdr:col>
      <xdr:colOff>657225</xdr:colOff>
      <xdr:row>119</xdr:row>
      <xdr:rowOff>0</xdr:rowOff>
    </xdr:from>
    <xdr:to>
      <xdr:col>3</xdr:col>
      <xdr:colOff>126626</xdr:colOff>
      <xdr:row>120</xdr:row>
      <xdr:rowOff>9525</xdr:rowOff>
    </xdr:to>
    <xdr:pic>
      <xdr:nvPicPr>
        <xdr:cNvPr id="24799" name="ComboBox2"/>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5305425" y="24584025"/>
          <a:ext cx="657225"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1419225</xdr:colOff>
      <xdr:row>16</xdr:row>
      <xdr:rowOff>180975</xdr:rowOff>
    </xdr:from>
    <xdr:to>
      <xdr:col>2</xdr:col>
      <xdr:colOff>638175</xdr:colOff>
      <xdr:row>18</xdr:row>
      <xdr:rowOff>0</xdr:rowOff>
    </xdr:to>
    <xdr:pic>
      <xdr:nvPicPr>
        <xdr:cNvPr id="25155" name="cmdTrackChanges"/>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3771900" y="5238750"/>
          <a:ext cx="1514475" cy="2190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73025</xdr:colOff>
      <xdr:row>10</xdr:row>
      <xdr:rowOff>119591</xdr:rowOff>
    </xdr:from>
    <xdr:to>
      <xdr:col>13</xdr:col>
      <xdr:colOff>624417</xdr:colOff>
      <xdr:row>13</xdr:row>
      <xdr:rowOff>256116</xdr:rowOff>
    </xdr:to>
    <xdr:pic>
      <xdr:nvPicPr>
        <xdr:cNvPr id="25157" name="CheckBox4"/>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12417425" y="3986741"/>
          <a:ext cx="3627967" cy="59372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0</xdr:col>
      <xdr:colOff>0</xdr:colOff>
      <xdr:row>0</xdr:row>
      <xdr:rowOff>0</xdr:rowOff>
    </xdr:from>
    <xdr:to>
      <xdr:col>9</xdr:col>
      <xdr:colOff>336346</xdr:colOff>
      <xdr:row>0</xdr:row>
      <xdr:rowOff>1316182</xdr:rowOff>
    </xdr:to>
    <xdr:pic>
      <xdr:nvPicPr>
        <xdr:cNvPr id="14" name="Рисунок 13" descr="биогрейс титул.bmp"/>
        <xdr:cNvPicPr>
          <a:picLocks noChangeAspect="1"/>
        </xdr:cNvPicPr>
      </xdr:nvPicPr>
      <xdr:blipFill>
        <a:blip xmlns:r="http://schemas.openxmlformats.org/officeDocument/2006/relationships" r:embed="rId10"/>
        <a:stretch>
          <a:fillRect/>
        </a:stretch>
      </xdr:blipFill>
      <xdr:spPr>
        <a:xfrm>
          <a:off x="0" y="0"/>
          <a:ext cx="12300225" cy="1316182"/>
        </a:xfrm>
        <a:prstGeom prst="rect">
          <a:avLst/>
        </a:prstGeom>
      </xdr:spPr>
    </xdr:pic>
    <xdr:clientData/>
  </xdr:twoCellAnchor>
  <xdr:twoCellAnchor editAs="oneCell">
    <xdr:from>
      <xdr:col>9</xdr:col>
      <xdr:colOff>95250</xdr:colOff>
      <xdr:row>13</xdr:row>
      <xdr:rowOff>161925</xdr:rowOff>
    </xdr:from>
    <xdr:to>
      <xdr:col>13</xdr:col>
      <xdr:colOff>780580</xdr:colOff>
      <xdr:row>14</xdr:row>
      <xdr:rowOff>219036</xdr:rowOff>
    </xdr:to>
    <xdr:pic>
      <xdr:nvPicPr>
        <xdr:cNvPr id="15" name="Рисунок 14" descr="Безымянный.bmp"/>
        <xdr:cNvPicPr>
          <a:picLocks noChangeAspect="1"/>
        </xdr:cNvPicPr>
      </xdr:nvPicPr>
      <xdr:blipFill>
        <a:blip xmlns:r="http://schemas.openxmlformats.org/officeDocument/2006/relationships" r:embed="rId11"/>
        <a:stretch>
          <a:fillRect/>
        </a:stretch>
      </xdr:blipFill>
      <xdr:spPr>
        <a:xfrm>
          <a:off x="12439650" y="4486275"/>
          <a:ext cx="3761905" cy="3142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904875</xdr:colOff>
      <xdr:row>1</xdr:row>
      <xdr:rowOff>11906</xdr:rowOff>
    </xdr:to>
    <xdr:pic>
      <xdr:nvPicPr>
        <xdr:cNvPr id="2" name="Picture 14"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870656" cy="1321594"/>
        </a:xfrm>
        <a:prstGeom prst="rect">
          <a:avLst/>
        </a:prstGeom>
        <a:noFill/>
        <a:ln w="9525">
          <a:noFill/>
          <a:miter lim="800000"/>
          <a:headEnd/>
          <a:tailEnd/>
        </a:ln>
      </xdr:spPr>
    </xdr:pic>
    <xdr:clientData/>
  </xdr:twoCellAnchor>
  <xdr:twoCellAnchor>
    <xdr:from>
      <xdr:col>10</xdr:col>
      <xdr:colOff>584200</xdr:colOff>
      <xdr:row>1</xdr:row>
      <xdr:rowOff>9525</xdr:rowOff>
    </xdr:from>
    <xdr:to>
      <xdr:col>12</xdr:col>
      <xdr:colOff>69785</xdr:colOff>
      <xdr:row>1</xdr:row>
      <xdr:rowOff>9525</xdr:rowOff>
    </xdr:to>
    <xdr:sp macro="" textlink="">
      <xdr:nvSpPr>
        <xdr:cNvPr id="3" name="WordArt 15">
          <a:hlinkClick xmlns:r="http://schemas.openxmlformats.org/officeDocument/2006/relationships" r:id="rId2"/>
        </xdr:cNvPr>
        <xdr:cNvSpPr>
          <a:spLocks noChangeArrowheads="1" noChangeShapeType="1" noTextEdit="1"/>
        </xdr:cNvSpPr>
      </xdr:nvSpPr>
      <xdr:spPr bwMode="auto">
        <a:xfrm>
          <a:off x="6489700" y="171450"/>
          <a:ext cx="666685" cy="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About</a:t>
          </a:r>
        </a:p>
      </xdr:txBody>
    </xdr:sp>
    <xdr:clientData/>
  </xdr:twoCellAnchor>
  <xdr:twoCellAnchor>
    <xdr:from>
      <xdr:col>13</xdr:col>
      <xdr:colOff>0</xdr:colOff>
      <xdr:row>1</xdr:row>
      <xdr:rowOff>3175</xdr:rowOff>
    </xdr:from>
    <xdr:to>
      <xdr:col>13</xdr:col>
      <xdr:colOff>862048</xdr:colOff>
      <xdr:row>1</xdr:row>
      <xdr:rowOff>0</xdr:rowOff>
    </xdr:to>
    <xdr:sp macro="" textlink="">
      <xdr:nvSpPr>
        <xdr:cNvPr id="4" name="WordArt 16">
          <a:hlinkClick xmlns:r="http://schemas.openxmlformats.org/officeDocument/2006/relationships" r:id="rId3"/>
        </xdr:cNvPr>
        <xdr:cNvSpPr>
          <a:spLocks noChangeArrowheads="1" noChangeShapeType="1" noTextEdit="1"/>
        </xdr:cNvSpPr>
      </xdr:nvSpPr>
      <xdr:spPr bwMode="auto">
        <a:xfrm>
          <a:off x="7677150" y="165100"/>
          <a:ext cx="585823" cy="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Directory</a:t>
          </a:r>
        </a:p>
      </xdr:txBody>
    </xdr:sp>
    <xdr:clientData/>
  </xdr:twoCellAnchor>
  <xdr:twoCellAnchor>
    <xdr:from>
      <xdr:col>10</xdr:col>
      <xdr:colOff>317500</xdr:colOff>
      <xdr:row>0</xdr:row>
      <xdr:rowOff>0</xdr:rowOff>
    </xdr:from>
    <xdr:to>
      <xdr:col>13</xdr:col>
      <xdr:colOff>996837</xdr:colOff>
      <xdr:row>1</xdr:row>
      <xdr:rowOff>0</xdr:rowOff>
    </xdr:to>
    <xdr:sp macro="" textlink="">
      <xdr:nvSpPr>
        <xdr:cNvPr id="5" name="WordArt 17">
          <a:hlinkClick xmlns:r="http://schemas.openxmlformats.org/officeDocument/2006/relationships" r:id="rId4"/>
        </xdr:cNvPr>
        <xdr:cNvSpPr>
          <a:spLocks noChangeArrowheads="1" noChangeShapeType="1" noTextEdit="1"/>
        </xdr:cNvSpPr>
      </xdr:nvSpPr>
      <xdr:spPr bwMode="auto">
        <a:xfrm>
          <a:off x="6223000" y="0"/>
          <a:ext cx="2041412"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7</xdr:col>
      <xdr:colOff>1200150</xdr:colOff>
      <xdr:row>0</xdr:row>
      <xdr:rowOff>127000</xdr:rowOff>
    </xdr:from>
    <xdr:to>
      <xdr:col>10</xdr:col>
      <xdr:colOff>117526</xdr:colOff>
      <xdr:row>1</xdr:row>
      <xdr:rowOff>0</xdr:rowOff>
    </xdr:to>
    <xdr:sp macro="" textlink="">
      <xdr:nvSpPr>
        <xdr:cNvPr id="6" name="WordArt 18">
          <a:hlinkClick xmlns:r="http://schemas.openxmlformats.org/officeDocument/2006/relationships" r:id="rId5"/>
        </xdr:cNvPr>
        <xdr:cNvSpPr>
          <a:spLocks noChangeArrowheads="1" noChangeShapeType="1" noTextEdit="1"/>
        </xdr:cNvSpPr>
      </xdr:nvSpPr>
      <xdr:spPr bwMode="auto">
        <a:xfrm>
          <a:off x="4724400" y="127000"/>
          <a:ext cx="1298626" cy="34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editAs="oneCell">
    <xdr:from>
      <xdr:col>9</xdr:col>
      <xdr:colOff>2533650</xdr:colOff>
      <xdr:row>13</xdr:row>
      <xdr:rowOff>0</xdr:rowOff>
    </xdr:from>
    <xdr:to>
      <xdr:col>14</xdr:col>
      <xdr:colOff>390525</xdr:colOff>
      <xdr:row>15</xdr:row>
      <xdr:rowOff>19050</xdr:rowOff>
    </xdr:to>
    <xdr:pic>
      <xdr:nvPicPr>
        <xdr:cNvPr id="64524" name="CheckBox2"/>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9467850" y="3819525"/>
          <a:ext cx="2886075" cy="4476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2524125</xdr:colOff>
      <xdr:row>11</xdr:row>
      <xdr:rowOff>0</xdr:rowOff>
    </xdr:from>
    <xdr:to>
      <xdr:col>14</xdr:col>
      <xdr:colOff>381000</xdr:colOff>
      <xdr:row>14</xdr:row>
      <xdr:rowOff>0</xdr:rowOff>
    </xdr:to>
    <xdr:pic>
      <xdr:nvPicPr>
        <xdr:cNvPr id="64525" name="CheckBox1"/>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9467850" y="3514725"/>
          <a:ext cx="2876550" cy="5238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561975</xdr:colOff>
      <xdr:row>103</xdr:row>
      <xdr:rowOff>0</xdr:rowOff>
    </xdr:from>
    <xdr:to>
      <xdr:col>3</xdr:col>
      <xdr:colOff>561975</xdr:colOff>
      <xdr:row>104</xdr:row>
      <xdr:rowOff>9525</xdr:rowOff>
    </xdr:to>
    <xdr:pic>
      <xdr:nvPicPr>
        <xdr:cNvPr id="64526" name="ComboBox1"/>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3781425" y="2041207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561975</xdr:colOff>
      <xdr:row>119</xdr:row>
      <xdr:rowOff>0</xdr:rowOff>
    </xdr:from>
    <xdr:to>
      <xdr:col>3</xdr:col>
      <xdr:colOff>561975</xdr:colOff>
      <xdr:row>120</xdr:row>
      <xdr:rowOff>9525</xdr:rowOff>
    </xdr:to>
    <xdr:pic>
      <xdr:nvPicPr>
        <xdr:cNvPr id="64527" name="ComboBox2"/>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3781425" y="2346007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1181100</xdr:colOff>
      <xdr:row>16</xdr:row>
      <xdr:rowOff>0</xdr:rowOff>
    </xdr:from>
    <xdr:to>
      <xdr:col>3</xdr:col>
      <xdr:colOff>333375</xdr:colOff>
      <xdr:row>17</xdr:row>
      <xdr:rowOff>123825</xdr:rowOff>
    </xdr:to>
    <xdr:pic>
      <xdr:nvPicPr>
        <xdr:cNvPr id="64528" name="cmdTrackChanges"/>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xmlns="" val="0"/>
            </a:ext>
          </a:extLst>
        </a:blip>
        <a:srcRect/>
        <a:stretch>
          <a:fillRect/>
        </a:stretch>
      </xdr:blipFill>
      <xdr:spPr bwMode="auto">
        <a:xfrm>
          <a:off x="2676525" y="4457700"/>
          <a:ext cx="1524000" cy="3333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1238250</xdr:colOff>
      <xdr:row>0</xdr:row>
      <xdr:rowOff>127000</xdr:rowOff>
    </xdr:from>
    <xdr:to>
      <xdr:col>9</xdr:col>
      <xdr:colOff>140786</xdr:colOff>
      <xdr:row>0</xdr:row>
      <xdr:rowOff>292100</xdr:rowOff>
    </xdr:to>
    <xdr:sp macro="" textlink="">
      <xdr:nvSpPr>
        <xdr:cNvPr id="3" name="WordArt 8">
          <a:hlinkClick xmlns:r="http://schemas.openxmlformats.org/officeDocument/2006/relationships" r:id="rId1"/>
        </xdr:cNvPr>
        <xdr:cNvSpPr>
          <a:spLocks noChangeArrowheads="1" noChangeShapeType="1" noTextEdit="1"/>
        </xdr:cNvSpPr>
      </xdr:nvSpPr>
      <xdr:spPr bwMode="auto">
        <a:xfrm>
          <a:off x="4267200" y="127000"/>
          <a:ext cx="1359986" cy="317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9</xdr:col>
      <xdr:colOff>348615</xdr:colOff>
      <xdr:row>0</xdr:row>
      <xdr:rowOff>0</xdr:rowOff>
    </xdr:from>
    <xdr:to>
      <xdr:col>12</xdr:col>
      <xdr:colOff>1023026</xdr:colOff>
      <xdr:row>0</xdr:row>
      <xdr:rowOff>266700</xdr:rowOff>
    </xdr:to>
    <xdr:sp macro="" textlink="">
      <xdr:nvSpPr>
        <xdr:cNvPr id="4" name="WordArt 9">
          <a:hlinkClick xmlns:r="http://schemas.openxmlformats.org/officeDocument/2006/relationships" r:id="rId2"/>
        </xdr:cNvPr>
        <xdr:cNvSpPr>
          <a:spLocks noChangeArrowheads="1" noChangeShapeType="1" noTextEdit="1"/>
        </xdr:cNvSpPr>
      </xdr:nvSpPr>
      <xdr:spPr bwMode="auto">
        <a:xfrm>
          <a:off x="5835015" y="0"/>
          <a:ext cx="2093636"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9</xdr:col>
      <xdr:colOff>810260</xdr:colOff>
      <xdr:row>0</xdr:row>
      <xdr:rowOff>952500</xdr:rowOff>
    </xdr:from>
    <xdr:to>
      <xdr:col>11</xdr:col>
      <xdr:colOff>146028</xdr:colOff>
      <xdr:row>1</xdr:row>
      <xdr:rowOff>0</xdr:rowOff>
    </xdr:to>
    <xdr:sp macro="" textlink="">
      <xdr:nvSpPr>
        <xdr:cNvPr id="5" name="WordArt 15">
          <a:hlinkClick xmlns:r="http://schemas.openxmlformats.org/officeDocument/2006/relationships" r:id="rId3"/>
        </xdr:cNvPr>
        <xdr:cNvSpPr>
          <a:spLocks noChangeArrowheads="1" noChangeShapeType="1" noTextEdit="1"/>
        </xdr:cNvSpPr>
      </xdr:nvSpPr>
      <xdr:spPr bwMode="auto">
        <a:xfrm>
          <a:off x="6096635" y="161925"/>
          <a:ext cx="754993"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128270</xdr:colOff>
      <xdr:row>0</xdr:row>
      <xdr:rowOff>858520</xdr:rowOff>
    </xdr:from>
    <xdr:to>
      <xdr:col>12</xdr:col>
      <xdr:colOff>886168</xdr:colOff>
      <xdr:row>1</xdr:row>
      <xdr:rowOff>12742</xdr:rowOff>
    </xdr:to>
    <xdr:sp macro="" textlink="">
      <xdr:nvSpPr>
        <xdr:cNvPr id="6" name="WordArt 16">
          <a:hlinkClick xmlns:r="http://schemas.openxmlformats.org/officeDocument/2006/relationships" r:id="rId4"/>
        </xdr:cNvPr>
        <xdr:cNvSpPr>
          <a:spLocks noChangeArrowheads="1" noChangeShapeType="1" noTextEdit="1"/>
        </xdr:cNvSpPr>
      </xdr:nvSpPr>
      <xdr:spPr bwMode="auto">
        <a:xfrm>
          <a:off x="6833870" y="163195"/>
          <a:ext cx="1091273" cy="11472"/>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10</xdr:col>
      <xdr:colOff>620184</xdr:colOff>
      <xdr:row>0</xdr:row>
      <xdr:rowOff>1021292</xdr:rowOff>
    </xdr:from>
    <xdr:to>
      <xdr:col>11</xdr:col>
      <xdr:colOff>159809</xdr:colOff>
      <xdr:row>0</xdr:row>
      <xdr:rowOff>1243541</xdr:rowOff>
    </xdr:to>
    <xdr:sp macro="" textlink="">
      <xdr:nvSpPr>
        <xdr:cNvPr id="7" name="Прямоугольник 6">
          <a:hlinkClick xmlns:r="http://schemas.openxmlformats.org/officeDocument/2006/relationships" r:id="rId5"/>
        </xdr:cNvPr>
        <xdr:cNvSpPr/>
      </xdr:nvSpPr>
      <xdr:spPr>
        <a:xfrm>
          <a:off x="10945284" y="1021292"/>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9</xdr:col>
      <xdr:colOff>752475</xdr:colOff>
      <xdr:row>0</xdr:row>
      <xdr:rowOff>1000125</xdr:rowOff>
    </xdr:from>
    <xdr:to>
      <xdr:col>10</xdr:col>
      <xdr:colOff>461433</xdr:colOff>
      <xdr:row>0</xdr:row>
      <xdr:rowOff>1222375</xdr:rowOff>
    </xdr:to>
    <xdr:sp macro="" textlink="">
      <xdr:nvSpPr>
        <xdr:cNvPr id="8" name="Прямоугольник 7">
          <a:hlinkClick xmlns:r="http://schemas.openxmlformats.org/officeDocument/2006/relationships" r:id="rId6"/>
        </xdr:cNvPr>
        <xdr:cNvSpPr/>
      </xdr:nvSpPr>
      <xdr:spPr>
        <a:xfrm>
          <a:off x="10267950" y="1000125"/>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10</xdr:col>
      <xdr:colOff>77259</xdr:colOff>
      <xdr:row>0</xdr:row>
      <xdr:rowOff>1126067</xdr:rowOff>
    </xdr:from>
    <xdr:to>
      <xdr:col>10</xdr:col>
      <xdr:colOff>712259</xdr:colOff>
      <xdr:row>0</xdr:row>
      <xdr:rowOff>1348316</xdr:rowOff>
    </xdr:to>
    <xdr:sp macro="" textlink="">
      <xdr:nvSpPr>
        <xdr:cNvPr id="10" name="Прямоугольник 9">
          <a:hlinkClick xmlns:r="http://schemas.openxmlformats.org/officeDocument/2006/relationships" r:id="rId7"/>
        </xdr:cNvPr>
        <xdr:cNvSpPr/>
      </xdr:nvSpPr>
      <xdr:spPr>
        <a:xfrm>
          <a:off x="10402359" y="112606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9</xdr:col>
      <xdr:colOff>209550</xdr:colOff>
      <xdr:row>0</xdr:row>
      <xdr:rowOff>1104900</xdr:rowOff>
    </xdr:from>
    <xdr:to>
      <xdr:col>9</xdr:col>
      <xdr:colOff>728133</xdr:colOff>
      <xdr:row>0</xdr:row>
      <xdr:rowOff>1327150</xdr:rowOff>
    </xdr:to>
    <xdr:sp macro="" textlink="">
      <xdr:nvSpPr>
        <xdr:cNvPr id="11" name="Прямоугольник 10">
          <a:hlinkClick xmlns:r="http://schemas.openxmlformats.org/officeDocument/2006/relationships" r:id="rId8"/>
        </xdr:cNvPr>
        <xdr:cNvSpPr/>
      </xdr:nvSpPr>
      <xdr:spPr>
        <a:xfrm>
          <a:off x="9725025" y="110490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2</xdr:col>
      <xdr:colOff>581025</xdr:colOff>
      <xdr:row>111</xdr:row>
      <xdr:rowOff>0</xdr:rowOff>
    </xdr:from>
    <xdr:to>
      <xdr:col>3</xdr:col>
      <xdr:colOff>533400</xdr:colOff>
      <xdr:row>112</xdr:row>
      <xdr:rowOff>9524</xdr:rowOff>
    </xdr:to>
    <xdr:pic>
      <xdr:nvPicPr>
        <xdr:cNvPr id="60426" name="ComboBox1"/>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3933825" y="23183850"/>
          <a:ext cx="6858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0</xdr:col>
      <xdr:colOff>0</xdr:colOff>
      <xdr:row>0</xdr:row>
      <xdr:rowOff>0</xdr:rowOff>
    </xdr:from>
    <xdr:to>
      <xdr:col>11</xdr:col>
      <xdr:colOff>1415143</xdr:colOff>
      <xdr:row>0</xdr:row>
      <xdr:rowOff>1249844</xdr:rowOff>
    </xdr:to>
    <xdr:pic>
      <xdr:nvPicPr>
        <xdr:cNvPr id="12" name="Рисунок 11" descr="биогрейс титул.bmp"/>
        <xdr:cNvPicPr>
          <a:picLocks noChangeAspect="1"/>
        </xdr:cNvPicPr>
      </xdr:nvPicPr>
      <xdr:blipFill>
        <a:blip xmlns:r="http://schemas.openxmlformats.org/officeDocument/2006/relationships" r:embed="rId10"/>
        <a:stretch>
          <a:fillRect/>
        </a:stretch>
      </xdr:blipFill>
      <xdr:spPr>
        <a:xfrm>
          <a:off x="0" y="0"/>
          <a:ext cx="12858750" cy="12498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371475</xdr:colOff>
      <xdr:row>1</xdr:row>
      <xdr:rowOff>0</xdr:rowOff>
    </xdr:to>
    <xdr:pic>
      <xdr:nvPicPr>
        <xdr:cNvPr id="46171" name="Picture 7"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877800" cy="1295400"/>
        </a:xfrm>
        <a:prstGeom prst="rect">
          <a:avLst/>
        </a:prstGeom>
        <a:noFill/>
        <a:ln w="9525">
          <a:noFill/>
          <a:miter lim="800000"/>
          <a:headEnd/>
          <a:tailEnd/>
        </a:ln>
      </xdr:spPr>
    </xdr:pic>
    <xdr:clientData/>
  </xdr:twoCellAnchor>
  <xdr:twoCellAnchor>
    <xdr:from>
      <xdr:col>6</xdr:col>
      <xdr:colOff>1200150</xdr:colOff>
      <xdr:row>0</xdr:row>
      <xdr:rowOff>127000</xdr:rowOff>
    </xdr:from>
    <xdr:to>
      <xdr:col>9</xdr:col>
      <xdr:colOff>133162</xdr:colOff>
      <xdr:row>0</xdr:row>
      <xdr:rowOff>292100</xdr:rowOff>
    </xdr:to>
    <xdr:sp macro="" textlink="">
      <xdr:nvSpPr>
        <xdr:cNvPr id="46157" name="WordArt 8">
          <a:hlinkClick xmlns:r="http://schemas.openxmlformats.org/officeDocument/2006/relationships" r:id="rId2"/>
        </xdr:cNvPr>
        <xdr:cNvSpPr>
          <a:spLocks noChangeArrowheads="1" noChangeShapeType="1" noTextEdit="1"/>
        </xdr:cNvSpPr>
      </xdr:nvSpPr>
      <xdr:spPr bwMode="auto">
        <a:xfrm>
          <a:off x="9220200" y="127000"/>
          <a:ext cx="15621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9</xdr:col>
      <xdr:colOff>333375</xdr:colOff>
      <xdr:row>0</xdr:row>
      <xdr:rowOff>0</xdr:rowOff>
    </xdr:from>
    <xdr:to>
      <xdr:col>12</xdr:col>
      <xdr:colOff>1000178</xdr:colOff>
      <xdr:row>0</xdr:row>
      <xdr:rowOff>266700</xdr:rowOff>
    </xdr:to>
    <xdr:sp macro="" textlink="">
      <xdr:nvSpPr>
        <xdr:cNvPr id="46158" name="WordArt 9">
          <a:hlinkClick xmlns:r="http://schemas.openxmlformats.org/officeDocument/2006/relationships" r:id="rId3"/>
        </xdr:cNvPr>
        <xdr:cNvSpPr>
          <a:spLocks noChangeArrowheads="1" noChangeShapeType="1" noTextEdit="1"/>
        </xdr:cNvSpPr>
      </xdr:nvSpPr>
      <xdr:spPr bwMode="auto">
        <a:xfrm>
          <a:off x="11010900" y="0"/>
          <a:ext cx="44450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9</xdr:col>
      <xdr:colOff>787400</xdr:colOff>
      <xdr:row>0</xdr:row>
      <xdr:rowOff>952500</xdr:rowOff>
    </xdr:from>
    <xdr:to>
      <xdr:col>11</xdr:col>
      <xdr:colOff>146050</xdr:colOff>
      <xdr:row>1</xdr:row>
      <xdr:rowOff>0</xdr:rowOff>
    </xdr:to>
    <xdr:sp macro="" textlink="">
      <xdr:nvSpPr>
        <xdr:cNvPr id="46159" name="WordArt 15">
          <a:hlinkClick xmlns:r="http://schemas.openxmlformats.org/officeDocument/2006/relationships" r:id="rId4"/>
        </xdr:cNvPr>
        <xdr:cNvSpPr>
          <a:spLocks noChangeArrowheads="1" noChangeShapeType="1" noTextEdit="1"/>
        </xdr:cNvSpPr>
      </xdr:nvSpPr>
      <xdr:spPr bwMode="auto">
        <a:xfrm>
          <a:off x="11531600" y="952500"/>
          <a:ext cx="1447800" cy="3429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120650</xdr:colOff>
      <xdr:row>0</xdr:row>
      <xdr:rowOff>850900</xdr:rowOff>
    </xdr:from>
    <xdr:to>
      <xdr:col>12</xdr:col>
      <xdr:colOff>863319</xdr:colOff>
      <xdr:row>1</xdr:row>
      <xdr:rowOff>12700</xdr:rowOff>
    </xdr:to>
    <xdr:sp macro="" textlink="">
      <xdr:nvSpPr>
        <xdr:cNvPr id="46160" name="WordArt 16">
          <a:hlinkClick xmlns:r="http://schemas.openxmlformats.org/officeDocument/2006/relationships" r:id="rId5"/>
        </xdr:cNvPr>
        <xdr:cNvSpPr>
          <a:spLocks noChangeArrowheads="1" noChangeShapeType="1" noTextEdit="1"/>
        </xdr:cNvSpPr>
      </xdr:nvSpPr>
      <xdr:spPr bwMode="auto">
        <a:xfrm>
          <a:off x="12954000" y="850900"/>
          <a:ext cx="2336800" cy="4572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2</xdr:col>
      <xdr:colOff>590550</xdr:colOff>
      <xdr:row>111</xdr:row>
      <xdr:rowOff>0</xdr:rowOff>
    </xdr:from>
    <xdr:to>
      <xdr:col>3</xdr:col>
      <xdr:colOff>552450</xdr:colOff>
      <xdr:row>112</xdr:row>
      <xdr:rowOff>9525</xdr:rowOff>
    </xdr:to>
    <xdr:pic>
      <xdr:nvPicPr>
        <xdr:cNvPr id="46081" name="ComboBox1"/>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3810000" y="23079075"/>
          <a:ext cx="695325"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7</xdr:col>
      <xdr:colOff>1200150</xdr:colOff>
      <xdr:row>0</xdr:row>
      <xdr:rowOff>127000</xdr:rowOff>
    </xdr:from>
    <xdr:to>
      <xdr:col>10</xdr:col>
      <xdr:colOff>117526</xdr:colOff>
      <xdr:row>0</xdr:row>
      <xdr:rowOff>292100</xdr:rowOff>
    </xdr:to>
    <xdr:sp macro="" textlink="">
      <xdr:nvSpPr>
        <xdr:cNvPr id="23313" name="WordArt 15">
          <a:hlinkClick xmlns:r="http://schemas.openxmlformats.org/officeDocument/2006/relationships" r:id="rId1"/>
        </xdr:cNvPr>
        <xdr:cNvSpPr>
          <a:spLocks noChangeArrowheads="1" noChangeShapeType="1" noTextEdit="1"/>
        </xdr:cNvSpPr>
      </xdr:nvSpPr>
      <xdr:spPr bwMode="auto">
        <a:xfrm>
          <a:off x="9321800" y="127000"/>
          <a:ext cx="16383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317500</xdr:colOff>
      <xdr:row>0</xdr:row>
      <xdr:rowOff>0</xdr:rowOff>
    </xdr:from>
    <xdr:to>
      <xdr:col>13</xdr:col>
      <xdr:colOff>996837</xdr:colOff>
      <xdr:row>0</xdr:row>
      <xdr:rowOff>266700</xdr:rowOff>
    </xdr:to>
    <xdr:sp macro="" textlink="">
      <xdr:nvSpPr>
        <xdr:cNvPr id="23314" name="WordArt 16">
          <a:hlinkClick xmlns:r="http://schemas.openxmlformats.org/officeDocument/2006/relationships" r:id="rId2"/>
        </xdr:cNvPr>
        <xdr:cNvSpPr>
          <a:spLocks noChangeArrowheads="1" noChangeShapeType="1" noTextEdit="1"/>
        </xdr:cNvSpPr>
      </xdr:nvSpPr>
      <xdr:spPr bwMode="auto">
        <a:xfrm>
          <a:off x="11188700" y="0"/>
          <a:ext cx="23622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5</xdr:col>
      <xdr:colOff>1248835</xdr:colOff>
      <xdr:row>0</xdr:row>
      <xdr:rowOff>1068917</xdr:rowOff>
    </xdr:from>
    <xdr:to>
      <xdr:col>7</xdr:col>
      <xdr:colOff>97898</xdr:colOff>
      <xdr:row>0</xdr:row>
      <xdr:rowOff>1291166</xdr:rowOff>
    </xdr:to>
    <xdr:sp macro="" textlink="">
      <xdr:nvSpPr>
        <xdr:cNvPr id="5" name="Прямоугольник 4">
          <a:hlinkClick xmlns:r="http://schemas.openxmlformats.org/officeDocument/2006/relationships" r:id="rId3"/>
        </xdr:cNvPr>
        <xdr:cNvSpPr/>
      </xdr:nvSpPr>
      <xdr:spPr>
        <a:xfrm>
          <a:off x="9940398" y="106891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5</xdr:col>
      <xdr:colOff>571501</xdr:colOff>
      <xdr:row>0</xdr:row>
      <xdr:rowOff>1047750</xdr:rowOff>
    </xdr:from>
    <xdr:to>
      <xdr:col>5</xdr:col>
      <xdr:colOff>1090084</xdr:colOff>
      <xdr:row>0</xdr:row>
      <xdr:rowOff>1270000</xdr:rowOff>
    </xdr:to>
    <xdr:sp macro="" textlink="">
      <xdr:nvSpPr>
        <xdr:cNvPr id="6" name="Прямоугольник 5">
          <a:hlinkClick xmlns:r="http://schemas.openxmlformats.org/officeDocument/2006/relationships" r:id="rId4"/>
        </xdr:cNvPr>
        <xdr:cNvSpPr/>
      </xdr:nvSpPr>
      <xdr:spPr>
        <a:xfrm>
          <a:off x="9263064" y="104775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9</xdr:col>
      <xdr:colOff>52388</xdr:colOff>
      <xdr:row>12</xdr:row>
      <xdr:rowOff>11906</xdr:rowOff>
    </xdr:from>
    <xdr:to>
      <xdr:col>13</xdr:col>
      <xdr:colOff>1138238</xdr:colOff>
      <xdr:row>14</xdr:row>
      <xdr:rowOff>145256</xdr:rowOff>
    </xdr:to>
    <xdr:pic>
      <xdr:nvPicPr>
        <xdr:cNvPr id="22534" name="Check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12815888" y="3702844"/>
          <a:ext cx="3633788" cy="442912"/>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657225</xdr:colOff>
      <xdr:row>131</xdr:row>
      <xdr:rowOff>0</xdr:rowOff>
    </xdr:from>
    <xdr:to>
      <xdr:col>3</xdr:col>
      <xdr:colOff>104775</xdr:colOff>
      <xdr:row>132</xdr:row>
      <xdr:rowOff>9525</xdr:rowOff>
    </xdr:to>
    <xdr:pic>
      <xdr:nvPicPr>
        <xdr:cNvPr id="22601" name="ComboBox2"/>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5000625" y="25955625"/>
          <a:ext cx="85725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685800</xdr:colOff>
      <xdr:row>115</xdr:row>
      <xdr:rowOff>0</xdr:rowOff>
    </xdr:from>
    <xdr:to>
      <xdr:col>3</xdr:col>
      <xdr:colOff>161925</xdr:colOff>
      <xdr:row>116</xdr:row>
      <xdr:rowOff>9525</xdr:rowOff>
    </xdr:to>
    <xdr:pic>
      <xdr:nvPicPr>
        <xdr:cNvPr id="22672" name="ComboBox1"/>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5029200" y="22907625"/>
          <a:ext cx="885825"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1176618</xdr:colOff>
      <xdr:row>17</xdr:row>
      <xdr:rowOff>190500</xdr:rowOff>
    </xdr:from>
    <xdr:to>
      <xdr:col>3</xdr:col>
      <xdr:colOff>1262341</xdr:colOff>
      <xdr:row>18</xdr:row>
      <xdr:rowOff>156884</xdr:rowOff>
    </xdr:to>
    <xdr:pic>
      <xdr:nvPicPr>
        <xdr:cNvPr id="23220" name="cmdTrackChanges"/>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5524500" y="4807324"/>
          <a:ext cx="1497665" cy="17929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0</xdr:col>
      <xdr:colOff>0</xdr:colOff>
      <xdr:row>0</xdr:row>
      <xdr:rowOff>0</xdr:rowOff>
    </xdr:from>
    <xdr:to>
      <xdr:col>14</xdr:col>
      <xdr:colOff>762000</xdr:colOff>
      <xdr:row>1</xdr:row>
      <xdr:rowOff>11216</xdr:rowOff>
    </xdr:to>
    <xdr:pic>
      <xdr:nvPicPr>
        <xdr:cNvPr id="12" name="Рисунок 11" descr="биогрейс титул.bmp"/>
        <xdr:cNvPicPr>
          <a:picLocks noChangeAspect="1"/>
        </xdr:cNvPicPr>
      </xdr:nvPicPr>
      <xdr:blipFill>
        <a:blip xmlns:r="http://schemas.openxmlformats.org/officeDocument/2006/relationships" r:embed="rId9"/>
        <a:stretch>
          <a:fillRect/>
        </a:stretch>
      </xdr:blipFill>
      <xdr:spPr>
        <a:xfrm>
          <a:off x="0" y="0"/>
          <a:ext cx="17512393" cy="1317502"/>
        </a:xfrm>
        <a:prstGeom prst="rect">
          <a:avLst/>
        </a:prstGeom>
      </xdr:spPr>
    </xdr:pic>
    <xdr:clientData/>
  </xdr:twoCellAnchor>
  <xdr:twoCellAnchor editAs="oneCell">
    <xdr:from>
      <xdr:col>9</xdr:col>
      <xdr:colOff>190499</xdr:colOff>
      <xdr:row>14</xdr:row>
      <xdr:rowOff>95251</xdr:rowOff>
    </xdr:from>
    <xdr:to>
      <xdr:col>13</xdr:col>
      <xdr:colOff>1407868</xdr:colOff>
      <xdr:row>15</xdr:row>
      <xdr:rowOff>191823</xdr:rowOff>
    </xdr:to>
    <xdr:pic>
      <xdr:nvPicPr>
        <xdr:cNvPr id="13" name="Рисунок 12" descr="Безымянный.bmp"/>
        <xdr:cNvPicPr>
          <a:picLocks noChangeAspect="1"/>
        </xdr:cNvPicPr>
      </xdr:nvPicPr>
      <xdr:blipFill>
        <a:blip xmlns:r="http://schemas.openxmlformats.org/officeDocument/2006/relationships" r:embed="rId10"/>
        <a:stretch>
          <a:fillRect/>
        </a:stretch>
      </xdr:blipFill>
      <xdr:spPr>
        <a:xfrm>
          <a:off x="12967606" y="4014108"/>
          <a:ext cx="3761905" cy="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79375</xdr:colOff>
      <xdr:row>0</xdr:row>
      <xdr:rowOff>673100</xdr:rowOff>
    </xdr:from>
    <xdr:to>
      <xdr:col>11</xdr:col>
      <xdr:colOff>333785</xdr:colOff>
      <xdr:row>0</xdr:row>
      <xdr:rowOff>825500</xdr:rowOff>
    </xdr:to>
    <xdr:sp macro="" textlink="">
      <xdr:nvSpPr>
        <xdr:cNvPr id="50298" name="WordArt 5">
          <a:hlinkClick xmlns:r="http://schemas.openxmlformats.org/officeDocument/2006/relationships" r:id="rId1"/>
        </xdr:cNvPr>
        <xdr:cNvSpPr>
          <a:spLocks noChangeArrowheads="1" noChangeShapeType="1" noTextEdit="1"/>
        </xdr:cNvSpPr>
      </xdr:nvSpPr>
      <xdr:spPr bwMode="auto">
        <a:xfrm>
          <a:off x="16751300" y="673100"/>
          <a:ext cx="292100" cy="1524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612775</xdr:colOff>
      <xdr:row>0</xdr:row>
      <xdr:rowOff>698500</xdr:rowOff>
    </xdr:from>
    <xdr:to>
      <xdr:col>12</xdr:col>
      <xdr:colOff>387890</xdr:colOff>
      <xdr:row>0</xdr:row>
      <xdr:rowOff>825500</xdr:rowOff>
    </xdr:to>
    <xdr:sp macro="" textlink="">
      <xdr:nvSpPr>
        <xdr:cNvPr id="50299" name="WordArt 6">
          <a:hlinkClick xmlns:r="http://schemas.openxmlformats.org/officeDocument/2006/relationships" r:id="rId2"/>
        </xdr:cNvPr>
        <xdr:cNvSpPr>
          <a:spLocks noChangeArrowheads="1" noChangeShapeType="1" noTextEdit="1"/>
        </xdr:cNvSpPr>
      </xdr:nvSpPr>
      <xdr:spPr bwMode="auto">
        <a:xfrm>
          <a:off x="17360900" y="698500"/>
          <a:ext cx="469900" cy="1270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8</xdr:col>
      <xdr:colOff>584200</xdr:colOff>
      <xdr:row>0</xdr:row>
      <xdr:rowOff>63500</xdr:rowOff>
    </xdr:from>
    <xdr:to>
      <xdr:col>10</xdr:col>
      <xdr:colOff>317500</xdr:colOff>
      <xdr:row>0</xdr:row>
      <xdr:rowOff>190500</xdr:rowOff>
    </xdr:to>
    <xdr:sp macro="" textlink="">
      <xdr:nvSpPr>
        <xdr:cNvPr id="50300" name="WordArt 7">
          <a:hlinkClick xmlns:r="http://schemas.openxmlformats.org/officeDocument/2006/relationships" r:id="rId3"/>
        </xdr:cNvPr>
        <xdr:cNvSpPr>
          <a:spLocks noChangeArrowheads="1" noChangeShapeType="1" noTextEdit="1"/>
        </xdr:cNvSpPr>
      </xdr:nvSpPr>
      <xdr:spPr bwMode="auto">
        <a:xfrm>
          <a:off x="15227300" y="63500"/>
          <a:ext cx="1092200" cy="1270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412750</xdr:colOff>
      <xdr:row>0</xdr:row>
      <xdr:rowOff>25400</xdr:rowOff>
    </xdr:from>
    <xdr:to>
      <xdr:col>12</xdr:col>
      <xdr:colOff>599966</xdr:colOff>
      <xdr:row>0</xdr:row>
      <xdr:rowOff>152400</xdr:rowOff>
    </xdr:to>
    <xdr:sp macro="" textlink="">
      <xdr:nvSpPr>
        <xdr:cNvPr id="50301" name="WordArt 8">
          <a:hlinkClick xmlns:r="http://schemas.openxmlformats.org/officeDocument/2006/relationships" r:id="rId4"/>
        </xdr:cNvPr>
        <xdr:cNvSpPr>
          <a:spLocks noChangeArrowheads="1" noChangeShapeType="1" noTextEdit="1"/>
        </xdr:cNvSpPr>
      </xdr:nvSpPr>
      <xdr:spPr bwMode="auto">
        <a:xfrm>
          <a:off x="16433800" y="25400"/>
          <a:ext cx="1638300" cy="1270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6</xdr:col>
      <xdr:colOff>133350</xdr:colOff>
      <xdr:row>80</xdr:row>
      <xdr:rowOff>38100</xdr:rowOff>
    </xdr:from>
    <xdr:to>
      <xdr:col>7</xdr:col>
      <xdr:colOff>15813</xdr:colOff>
      <xdr:row>80</xdr:row>
      <xdr:rowOff>215900</xdr:rowOff>
    </xdr:to>
    <xdr:sp macro="" textlink="">
      <xdr:nvSpPr>
        <xdr:cNvPr id="50302" name="WordArt 9">
          <a:hlinkClick xmlns:r="http://schemas.openxmlformats.org/officeDocument/2006/relationships" r:id="rId5"/>
        </xdr:cNvPr>
        <xdr:cNvSpPr>
          <a:spLocks noChangeArrowheads="1" noChangeShapeType="1" noTextEdit="1"/>
        </xdr:cNvSpPr>
      </xdr:nvSpPr>
      <xdr:spPr bwMode="auto">
        <a:xfrm>
          <a:off x="13322300" y="18440400"/>
          <a:ext cx="571500" cy="1778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3</xdr:col>
      <xdr:colOff>3654425</xdr:colOff>
      <xdr:row>0</xdr:row>
      <xdr:rowOff>695325</xdr:rowOff>
    </xdr:from>
    <xdr:to>
      <xdr:col>3</xdr:col>
      <xdr:colOff>4243154</xdr:colOff>
      <xdr:row>1</xdr:row>
      <xdr:rowOff>9525</xdr:rowOff>
    </xdr:to>
    <xdr:sp macro="" textlink="">
      <xdr:nvSpPr>
        <xdr:cNvPr id="40135" name="WordArt 10">
          <a:hlinkClick xmlns:r="http://schemas.openxmlformats.org/officeDocument/2006/relationships" r:id="rId6"/>
        </xdr:cNvPr>
        <xdr:cNvSpPr>
          <a:spLocks noChangeArrowheads="1" noChangeShapeType="1" noTextEdit="1"/>
        </xdr:cNvSpPr>
      </xdr:nvSpPr>
      <xdr:spPr bwMode="auto">
        <a:xfrm>
          <a:off x="8039100" y="695325"/>
          <a:ext cx="590550" cy="333375"/>
        </a:xfrm>
        <a:prstGeom prst="rect">
          <a:avLst/>
        </a:prstGeom>
        <a:extLst/>
      </xdr:spPr>
      <xdr:txBody>
        <a:bodyPr vertOverflow="clip" wrap="none" lIns="91440" tIns="45720" rIns="91440" bIns="45720" fromWordArt="1" anchor="t">
          <a:prstTxWarp prst="textPlain">
            <a:avLst>
              <a:gd name="adj" fmla="val 66667"/>
            </a:avLst>
          </a:prstTxWarp>
        </a:bodyPr>
        <a:lstStyle/>
        <a:p>
          <a:pPr algn="ctr" rtl="0">
            <a:defRPr sz="1000"/>
          </a:pPr>
          <a:r>
            <a:rPr lang="en-US" sz="1000" b="0" i="0" u="sng" strike="sngStrike">
              <a:solidFill>
                <a:srgbClr val="000000"/>
              </a:solidFill>
              <a:latin typeface="Arial Black"/>
              <a:ea typeface="Arial Black"/>
              <a:cs typeface="Arial Black"/>
            </a:rPr>
            <a:t>About</a:t>
          </a:r>
        </a:p>
      </xdr:txBody>
    </xdr:sp>
    <xdr:clientData/>
  </xdr:twoCellAnchor>
  <xdr:twoCellAnchor>
    <xdr:from>
      <xdr:col>3</xdr:col>
      <xdr:colOff>4308475</xdr:colOff>
      <xdr:row>0</xdr:row>
      <xdr:rowOff>676275</xdr:rowOff>
    </xdr:from>
    <xdr:to>
      <xdr:col>3</xdr:col>
      <xdr:colOff>4993405</xdr:colOff>
      <xdr:row>1</xdr:row>
      <xdr:rowOff>0</xdr:rowOff>
    </xdr:to>
    <xdr:sp macro="" textlink="">
      <xdr:nvSpPr>
        <xdr:cNvPr id="40136" name="WordArt 11">
          <a:hlinkClick xmlns:r="http://schemas.openxmlformats.org/officeDocument/2006/relationships" r:id="rId7"/>
        </xdr:cNvPr>
        <xdr:cNvSpPr>
          <a:spLocks noChangeArrowheads="1" noChangeShapeType="1" noTextEdit="1"/>
        </xdr:cNvSpPr>
      </xdr:nvSpPr>
      <xdr:spPr bwMode="auto">
        <a:xfrm>
          <a:off x="8677275" y="676275"/>
          <a:ext cx="714375" cy="34290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Directory</a:t>
          </a:r>
        </a:p>
      </xdr:txBody>
    </xdr:sp>
    <xdr:clientData/>
  </xdr:twoCellAnchor>
  <xdr:twoCellAnchor>
    <xdr:from>
      <xdr:col>2</xdr:col>
      <xdr:colOff>2266950</xdr:colOff>
      <xdr:row>0</xdr:row>
      <xdr:rowOff>38100</xdr:rowOff>
    </xdr:from>
    <xdr:to>
      <xdr:col>3</xdr:col>
      <xdr:colOff>0</xdr:colOff>
      <xdr:row>0</xdr:row>
      <xdr:rowOff>139700</xdr:rowOff>
    </xdr:to>
    <xdr:sp macro="" textlink="">
      <xdr:nvSpPr>
        <xdr:cNvPr id="50305" name="WordArt 12">
          <a:hlinkClick xmlns:r="http://schemas.openxmlformats.org/officeDocument/2006/relationships" r:id="rId3"/>
        </xdr:cNvPr>
        <xdr:cNvSpPr>
          <a:spLocks noChangeArrowheads="1" noChangeShapeType="1" noTextEdit="1"/>
        </xdr:cNvSpPr>
      </xdr:nvSpPr>
      <xdr:spPr bwMode="auto">
        <a:xfrm>
          <a:off x="4064000" y="38100"/>
          <a:ext cx="952500" cy="1016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3</xdr:col>
      <xdr:colOff>3479800</xdr:colOff>
      <xdr:row>0</xdr:row>
      <xdr:rowOff>12700</xdr:rowOff>
    </xdr:from>
    <xdr:to>
      <xdr:col>3</xdr:col>
      <xdr:colOff>5122077</xdr:colOff>
      <xdr:row>0</xdr:row>
      <xdr:rowOff>244719</xdr:rowOff>
    </xdr:to>
    <xdr:sp macro="" textlink="">
      <xdr:nvSpPr>
        <xdr:cNvPr id="50306" name="WordArt 13">
          <a:hlinkClick xmlns:r="http://schemas.openxmlformats.org/officeDocument/2006/relationships" r:id="rId4"/>
        </xdr:cNvPr>
        <xdr:cNvSpPr>
          <a:spLocks noChangeArrowheads="1" noChangeShapeType="1" noTextEdit="1"/>
        </xdr:cNvSpPr>
      </xdr:nvSpPr>
      <xdr:spPr bwMode="auto">
        <a:xfrm>
          <a:off x="8991600" y="12700"/>
          <a:ext cx="1879600" cy="2413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0</xdr:col>
      <xdr:colOff>9525</xdr:colOff>
      <xdr:row>92</xdr:row>
      <xdr:rowOff>123825</xdr:rowOff>
    </xdr:from>
    <xdr:to>
      <xdr:col>2</xdr:col>
      <xdr:colOff>2247900</xdr:colOff>
      <xdr:row>97</xdr:row>
      <xdr:rowOff>0</xdr:rowOff>
    </xdr:to>
    <xdr:pic>
      <xdr:nvPicPr>
        <xdr:cNvPr id="50340" name="Picture 16" descr="IEE banner"/>
        <xdr:cNvPicPr>
          <a:picLocks noChangeAspect="1" noChangeArrowheads="1"/>
        </xdr:cNvPicPr>
      </xdr:nvPicPr>
      <xdr:blipFill>
        <a:blip xmlns:r="http://schemas.openxmlformats.org/officeDocument/2006/relationships" r:embed="rId8" cstate="print"/>
        <a:srcRect/>
        <a:stretch>
          <a:fillRect/>
        </a:stretch>
      </xdr:blipFill>
      <xdr:spPr bwMode="auto">
        <a:xfrm>
          <a:off x="9525" y="21307425"/>
          <a:ext cx="3524250" cy="6858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5905500</xdr:colOff>
      <xdr:row>1</xdr:row>
      <xdr:rowOff>9525</xdr:rowOff>
    </xdr:to>
    <xdr:pic>
      <xdr:nvPicPr>
        <xdr:cNvPr id="13" name="Picture 14" descr="Header_Calculator_300dpi_2"/>
        <xdr:cNvPicPr>
          <a:picLocks noChangeAspect="1" noChangeArrowheads="1"/>
        </xdr:cNvPicPr>
      </xdr:nvPicPr>
      <xdr:blipFill>
        <a:blip xmlns:r="http://schemas.openxmlformats.org/officeDocument/2006/relationships" r:embed="rId9" cstate="print"/>
        <a:srcRect/>
        <a:stretch>
          <a:fillRect/>
        </a:stretch>
      </xdr:blipFill>
      <xdr:spPr bwMode="auto">
        <a:xfrm>
          <a:off x="0" y="0"/>
          <a:ext cx="10287000" cy="10287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885825</xdr:colOff>
      <xdr:row>1</xdr:row>
      <xdr:rowOff>0</xdr:rowOff>
    </xdr:to>
    <xdr:pic>
      <xdr:nvPicPr>
        <xdr:cNvPr id="2" name="Picture 14"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851606" cy="1297781"/>
        </a:xfrm>
        <a:prstGeom prst="rect">
          <a:avLst/>
        </a:prstGeom>
        <a:noFill/>
        <a:ln w="9525">
          <a:noFill/>
          <a:miter lim="800000"/>
          <a:headEnd/>
          <a:tailEnd/>
        </a:ln>
      </xdr:spPr>
    </xdr:pic>
    <xdr:clientData/>
  </xdr:twoCellAnchor>
  <xdr:twoCellAnchor>
    <xdr:from>
      <xdr:col>7</xdr:col>
      <xdr:colOff>1200150</xdr:colOff>
      <xdr:row>0</xdr:row>
      <xdr:rowOff>127000</xdr:rowOff>
    </xdr:from>
    <xdr:to>
      <xdr:col>10</xdr:col>
      <xdr:colOff>117526</xdr:colOff>
      <xdr:row>0</xdr:row>
      <xdr:rowOff>292100</xdr:rowOff>
    </xdr:to>
    <xdr:sp macro="" textlink="">
      <xdr:nvSpPr>
        <xdr:cNvPr id="3" name="WordArt 15">
          <a:hlinkClick xmlns:r="http://schemas.openxmlformats.org/officeDocument/2006/relationships" r:id="rId2"/>
        </xdr:cNvPr>
        <xdr:cNvSpPr>
          <a:spLocks noChangeArrowheads="1" noChangeShapeType="1" noTextEdit="1"/>
        </xdr:cNvSpPr>
      </xdr:nvSpPr>
      <xdr:spPr bwMode="auto">
        <a:xfrm>
          <a:off x="4724400" y="127000"/>
          <a:ext cx="1298626" cy="317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317500</xdr:colOff>
      <xdr:row>0</xdr:row>
      <xdr:rowOff>0</xdr:rowOff>
    </xdr:from>
    <xdr:to>
      <xdr:col>13</xdr:col>
      <xdr:colOff>996837</xdr:colOff>
      <xdr:row>0</xdr:row>
      <xdr:rowOff>266700</xdr:rowOff>
    </xdr:to>
    <xdr:sp macro="" textlink="">
      <xdr:nvSpPr>
        <xdr:cNvPr id="4" name="WordArt 16">
          <a:hlinkClick xmlns:r="http://schemas.openxmlformats.org/officeDocument/2006/relationships" r:id="rId3"/>
        </xdr:cNvPr>
        <xdr:cNvSpPr>
          <a:spLocks noChangeArrowheads="1" noChangeShapeType="1" noTextEdit="1"/>
        </xdr:cNvSpPr>
      </xdr:nvSpPr>
      <xdr:spPr bwMode="auto">
        <a:xfrm>
          <a:off x="6223000" y="0"/>
          <a:ext cx="2041412"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editAs="oneCell">
    <xdr:from>
      <xdr:col>9</xdr:col>
      <xdr:colOff>2533650</xdr:colOff>
      <xdr:row>14</xdr:row>
      <xdr:rowOff>0</xdr:rowOff>
    </xdr:from>
    <xdr:to>
      <xdr:col>14</xdr:col>
      <xdr:colOff>390525</xdr:colOff>
      <xdr:row>16</xdr:row>
      <xdr:rowOff>19050</xdr:rowOff>
    </xdr:to>
    <xdr:pic>
      <xdr:nvPicPr>
        <xdr:cNvPr id="65550" name="CheckBox2"/>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9467850" y="3962400"/>
          <a:ext cx="2886075" cy="4476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2524125</xdr:colOff>
      <xdr:row>12</xdr:row>
      <xdr:rowOff>0</xdr:rowOff>
    </xdr:from>
    <xdr:to>
      <xdr:col>14</xdr:col>
      <xdr:colOff>381000</xdr:colOff>
      <xdr:row>15</xdr:row>
      <xdr:rowOff>0</xdr:rowOff>
    </xdr:to>
    <xdr:pic>
      <xdr:nvPicPr>
        <xdr:cNvPr id="65551" name="Check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9467850" y="3657600"/>
          <a:ext cx="2876550" cy="5238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552450</xdr:colOff>
      <xdr:row>131</xdr:row>
      <xdr:rowOff>0</xdr:rowOff>
    </xdr:from>
    <xdr:to>
      <xdr:col>3</xdr:col>
      <xdr:colOff>552450</xdr:colOff>
      <xdr:row>132</xdr:row>
      <xdr:rowOff>9525</xdr:rowOff>
    </xdr:to>
    <xdr:pic>
      <xdr:nvPicPr>
        <xdr:cNvPr id="65552" name="ComboBox2"/>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3771900" y="2557462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581025</xdr:colOff>
      <xdr:row>115</xdr:row>
      <xdr:rowOff>0</xdr:rowOff>
    </xdr:from>
    <xdr:to>
      <xdr:col>3</xdr:col>
      <xdr:colOff>581025</xdr:colOff>
      <xdr:row>116</xdr:row>
      <xdr:rowOff>9525</xdr:rowOff>
    </xdr:to>
    <xdr:pic>
      <xdr:nvPicPr>
        <xdr:cNvPr id="65553" name="ComboBox1"/>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3800475" y="2252662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1181100</xdr:colOff>
      <xdr:row>17</xdr:row>
      <xdr:rowOff>0</xdr:rowOff>
    </xdr:from>
    <xdr:to>
      <xdr:col>3</xdr:col>
      <xdr:colOff>333375</xdr:colOff>
      <xdr:row>18</xdr:row>
      <xdr:rowOff>104775</xdr:rowOff>
    </xdr:to>
    <xdr:pic>
      <xdr:nvPicPr>
        <xdr:cNvPr id="65554" name="cmdTrackChanges"/>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676525" y="4600575"/>
          <a:ext cx="1524000" cy="31432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317500</xdr:colOff>
      <xdr:row>0</xdr:row>
      <xdr:rowOff>0</xdr:rowOff>
    </xdr:from>
    <xdr:to>
      <xdr:col>13</xdr:col>
      <xdr:colOff>996837</xdr:colOff>
      <xdr:row>0</xdr:row>
      <xdr:rowOff>266700</xdr:rowOff>
    </xdr:to>
    <xdr:sp macro="" textlink="">
      <xdr:nvSpPr>
        <xdr:cNvPr id="19119" name="WordArt 17">
          <a:hlinkClick xmlns:r="http://schemas.openxmlformats.org/officeDocument/2006/relationships" r:id="rId1"/>
        </xdr:cNvPr>
        <xdr:cNvSpPr>
          <a:spLocks noChangeArrowheads="1" noChangeShapeType="1" noTextEdit="1"/>
        </xdr:cNvSpPr>
      </xdr:nvSpPr>
      <xdr:spPr bwMode="auto">
        <a:xfrm>
          <a:off x="11188700" y="0"/>
          <a:ext cx="23622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7</xdr:col>
      <xdr:colOff>1200150</xdr:colOff>
      <xdr:row>0</xdr:row>
      <xdr:rowOff>127000</xdr:rowOff>
    </xdr:from>
    <xdr:to>
      <xdr:col>10</xdr:col>
      <xdr:colOff>117526</xdr:colOff>
      <xdr:row>0</xdr:row>
      <xdr:rowOff>292100</xdr:rowOff>
    </xdr:to>
    <xdr:sp macro="" textlink="">
      <xdr:nvSpPr>
        <xdr:cNvPr id="19120" name="WordArt 18">
          <a:hlinkClick xmlns:r="http://schemas.openxmlformats.org/officeDocument/2006/relationships" r:id="rId2"/>
        </xdr:cNvPr>
        <xdr:cNvSpPr>
          <a:spLocks noChangeArrowheads="1" noChangeShapeType="1" noTextEdit="1"/>
        </xdr:cNvSpPr>
      </xdr:nvSpPr>
      <xdr:spPr bwMode="auto">
        <a:xfrm>
          <a:off x="9321800" y="127000"/>
          <a:ext cx="16383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5</xdr:col>
      <xdr:colOff>1227667</xdr:colOff>
      <xdr:row>0</xdr:row>
      <xdr:rowOff>1185333</xdr:rowOff>
    </xdr:from>
    <xdr:to>
      <xdr:col>7</xdr:col>
      <xdr:colOff>285751</xdr:colOff>
      <xdr:row>1</xdr:row>
      <xdr:rowOff>21165</xdr:rowOff>
    </xdr:to>
    <xdr:sp macro="" textlink="">
      <xdr:nvSpPr>
        <xdr:cNvPr id="5" name="Прямоугольник 4">
          <a:hlinkClick xmlns:r="http://schemas.openxmlformats.org/officeDocument/2006/relationships" r:id="rId3"/>
        </xdr:cNvPr>
        <xdr:cNvSpPr/>
      </xdr:nvSpPr>
      <xdr:spPr>
        <a:xfrm>
          <a:off x="10869084" y="1185333"/>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5</xdr:col>
      <xdr:colOff>550333</xdr:colOff>
      <xdr:row>0</xdr:row>
      <xdr:rowOff>1164166</xdr:rowOff>
    </xdr:from>
    <xdr:to>
      <xdr:col>5</xdr:col>
      <xdr:colOff>1068916</xdr:colOff>
      <xdr:row>0</xdr:row>
      <xdr:rowOff>1386416</xdr:rowOff>
    </xdr:to>
    <xdr:sp macro="" textlink="">
      <xdr:nvSpPr>
        <xdr:cNvPr id="6" name="Прямоугольник 5">
          <a:hlinkClick xmlns:r="http://schemas.openxmlformats.org/officeDocument/2006/relationships" r:id="rId4"/>
        </xdr:cNvPr>
        <xdr:cNvSpPr/>
      </xdr:nvSpPr>
      <xdr:spPr>
        <a:xfrm>
          <a:off x="10191750" y="1164166"/>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2</xdr:col>
      <xdr:colOff>657225</xdr:colOff>
      <xdr:row>106</xdr:row>
      <xdr:rowOff>0</xdr:rowOff>
    </xdr:from>
    <xdr:to>
      <xdr:col>2</xdr:col>
      <xdr:colOff>1314450</xdr:colOff>
      <xdr:row>107</xdr:row>
      <xdr:rowOff>9525</xdr:rowOff>
    </xdr:to>
    <xdr:pic>
      <xdr:nvPicPr>
        <xdr:cNvPr id="18469" name="Combo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5295900" y="21631275"/>
          <a:ext cx="657225"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657225</xdr:colOff>
      <xdr:row>122</xdr:row>
      <xdr:rowOff>0</xdr:rowOff>
    </xdr:from>
    <xdr:to>
      <xdr:col>2</xdr:col>
      <xdr:colOff>1314450</xdr:colOff>
      <xdr:row>123</xdr:row>
      <xdr:rowOff>9525</xdr:rowOff>
    </xdr:to>
    <xdr:pic>
      <xdr:nvPicPr>
        <xdr:cNvPr id="18691" name="ComboBox2"/>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5295900" y="24679275"/>
          <a:ext cx="657225"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3</xdr:col>
      <xdr:colOff>247650</xdr:colOff>
      <xdr:row>16</xdr:row>
      <xdr:rowOff>180974</xdr:rowOff>
    </xdr:from>
    <xdr:to>
      <xdr:col>3</xdr:col>
      <xdr:colOff>1936298</xdr:colOff>
      <xdr:row>17</xdr:row>
      <xdr:rowOff>208189</xdr:rowOff>
    </xdr:to>
    <xdr:pic>
      <xdr:nvPicPr>
        <xdr:cNvPr id="19024" name="cmdTrackChanges"/>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6753225" y="4848224"/>
          <a:ext cx="1688648" cy="23676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106136</xdr:colOff>
      <xdr:row>10</xdr:row>
      <xdr:rowOff>134471</xdr:rowOff>
    </xdr:from>
    <xdr:to>
      <xdr:col>12</xdr:col>
      <xdr:colOff>659947</xdr:colOff>
      <xdr:row>13</xdr:row>
      <xdr:rowOff>187779</xdr:rowOff>
    </xdr:to>
    <xdr:pic>
      <xdr:nvPicPr>
        <xdr:cNvPr id="19026" name="CheckBox4"/>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13598018" y="3720353"/>
          <a:ext cx="3467341" cy="52395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0</xdr:col>
      <xdr:colOff>0</xdr:colOff>
      <xdr:row>0</xdr:row>
      <xdr:rowOff>0</xdr:rowOff>
    </xdr:from>
    <xdr:to>
      <xdr:col>10</xdr:col>
      <xdr:colOff>530679</xdr:colOff>
      <xdr:row>0</xdr:row>
      <xdr:rowOff>1319893</xdr:rowOff>
    </xdr:to>
    <xdr:pic>
      <xdr:nvPicPr>
        <xdr:cNvPr id="12" name="Рисунок 11" descr="биогрейс титул.bmp"/>
        <xdr:cNvPicPr>
          <a:picLocks noChangeAspect="1"/>
        </xdr:cNvPicPr>
      </xdr:nvPicPr>
      <xdr:blipFill>
        <a:blip xmlns:r="http://schemas.openxmlformats.org/officeDocument/2006/relationships" r:embed="rId9"/>
        <a:stretch>
          <a:fillRect/>
        </a:stretch>
      </xdr:blipFill>
      <xdr:spPr>
        <a:xfrm>
          <a:off x="0" y="0"/>
          <a:ext cx="14913429" cy="1319893"/>
        </a:xfrm>
        <a:prstGeom prst="rect">
          <a:avLst/>
        </a:prstGeom>
      </xdr:spPr>
    </xdr:pic>
    <xdr:clientData/>
  </xdr:twoCellAnchor>
  <xdr:twoCellAnchor editAs="oneCell">
    <xdr:from>
      <xdr:col>9</xdr:col>
      <xdr:colOff>40821</xdr:colOff>
      <xdr:row>13</xdr:row>
      <xdr:rowOff>136072</xdr:rowOff>
    </xdr:from>
    <xdr:to>
      <xdr:col>13</xdr:col>
      <xdr:colOff>156012</xdr:colOff>
      <xdr:row>15</xdr:row>
      <xdr:rowOff>28537</xdr:rowOff>
    </xdr:to>
    <xdr:pic>
      <xdr:nvPicPr>
        <xdr:cNvPr id="13" name="Рисунок 12" descr="Безымянный.bmp"/>
        <xdr:cNvPicPr>
          <a:picLocks noChangeAspect="1"/>
        </xdr:cNvPicPr>
      </xdr:nvPicPr>
      <xdr:blipFill>
        <a:blip xmlns:r="http://schemas.openxmlformats.org/officeDocument/2006/relationships" r:embed="rId10"/>
        <a:stretch>
          <a:fillRect/>
        </a:stretch>
      </xdr:blipFill>
      <xdr:spPr>
        <a:xfrm>
          <a:off x="13525500" y="4136572"/>
          <a:ext cx="3761905" cy="3142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885825</xdr:colOff>
      <xdr:row>1</xdr:row>
      <xdr:rowOff>0</xdr:rowOff>
    </xdr:to>
    <xdr:pic>
      <xdr:nvPicPr>
        <xdr:cNvPr id="2" name="Picture 14"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58250" cy="161925"/>
        </a:xfrm>
        <a:prstGeom prst="rect">
          <a:avLst/>
        </a:prstGeom>
        <a:noFill/>
        <a:ln w="9525">
          <a:noFill/>
          <a:miter lim="800000"/>
          <a:headEnd/>
          <a:tailEnd/>
        </a:ln>
      </xdr:spPr>
    </xdr:pic>
    <xdr:clientData/>
  </xdr:twoCellAnchor>
  <xdr:twoCellAnchor>
    <xdr:from>
      <xdr:col>10</xdr:col>
      <xdr:colOff>317500</xdr:colOff>
      <xdr:row>0</xdr:row>
      <xdr:rowOff>0</xdr:rowOff>
    </xdr:from>
    <xdr:to>
      <xdr:col>13</xdr:col>
      <xdr:colOff>996837</xdr:colOff>
      <xdr:row>0</xdr:row>
      <xdr:rowOff>266700</xdr:rowOff>
    </xdr:to>
    <xdr:sp macro="" textlink="">
      <xdr:nvSpPr>
        <xdr:cNvPr id="5" name="WordArt 17">
          <a:hlinkClick xmlns:r="http://schemas.openxmlformats.org/officeDocument/2006/relationships" r:id="rId2"/>
        </xdr:cNvPr>
        <xdr:cNvSpPr>
          <a:spLocks noChangeArrowheads="1" noChangeShapeType="1" noTextEdit="1"/>
        </xdr:cNvSpPr>
      </xdr:nvSpPr>
      <xdr:spPr bwMode="auto">
        <a:xfrm>
          <a:off x="6223000" y="0"/>
          <a:ext cx="2041412"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7</xdr:col>
      <xdr:colOff>1200150</xdr:colOff>
      <xdr:row>0</xdr:row>
      <xdr:rowOff>127000</xdr:rowOff>
    </xdr:from>
    <xdr:to>
      <xdr:col>10</xdr:col>
      <xdr:colOff>117526</xdr:colOff>
      <xdr:row>0</xdr:row>
      <xdr:rowOff>292100</xdr:rowOff>
    </xdr:to>
    <xdr:sp macro="" textlink="">
      <xdr:nvSpPr>
        <xdr:cNvPr id="6" name="WordArt 18">
          <a:hlinkClick xmlns:r="http://schemas.openxmlformats.org/officeDocument/2006/relationships" r:id="rId3"/>
        </xdr:cNvPr>
        <xdr:cNvSpPr>
          <a:spLocks noChangeArrowheads="1" noChangeShapeType="1" noTextEdit="1"/>
        </xdr:cNvSpPr>
      </xdr:nvSpPr>
      <xdr:spPr bwMode="auto">
        <a:xfrm>
          <a:off x="4724400" y="127000"/>
          <a:ext cx="1298626" cy="317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editAs="oneCell">
    <xdr:from>
      <xdr:col>9</xdr:col>
      <xdr:colOff>2533650</xdr:colOff>
      <xdr:row>13</xdr:row>
      <xdr:rowOff>0</xdr:rowOff>
    </xdr:from>
    <xdr:to>
      <xdr:col>14</xdr:col>
      <xdr:colOff>390525</xdr:colOff>
      <xdr:row>15</xdr:row>
      <xdr:rowOff>19050</xdr:rowOff>
    </xdr:to>
    <xdr:pic>
      <xdr:nvPicPr>
        <xdr:cNvPr id="66575" name="CheckBox2"/>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9467850" y="5010150"/>
          <a:ext cx="2886075" cy="4476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106136</xdr:colOff>
      <xdr:row>11</xdr:row>
      <xdr:rowOff>0</xdr:rowOff>
    </xdr:from>
    <xdr:to>
      <xdr:col>13</xdr:col>
      <xdr:colOff>993322</xdr:colOff>
      <xdr:row>14</xdr:row>
      <xdr:rowOff>0</xdr:rowOff>
    </xdr:to>
    <xdr:pic>
      <xdr:nvPicPr>
        <xdr:cNvPr id="66576" name="Check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77993" y="4667250"/>
          <a:ext cx="2887436" cy="517071"/>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2</xdr:col>
      <xdr:colOff>552450</xdr:colOff>
      <xdr:row>106</xdr:row>
      <xdr:rowOff>0</xdr:rowOff>
    </xdr:from>
    <xdr:to>
      <xdr:col>3</xdr:col>
      <xdr:colOff>552450</xdr:colOff>
      <xdr:row>107</xdr:row>
      <xdr:rowOff>9525</xdr:rowOff>
    </xdr:to>
    <xdr:pic>
      <xdr:nvPicPr>
        <xdr:cNvPr id="66577" name="ComboBox1"/>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3771900" y="2212657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2</xdr:col>
      <xdr:colOff>552450</xdr:colOff>
      <xdr:row>122</xdr:row>
      <xdr:rowOff>0</xdr:rowOff>
    </xdr:from>
    <xdr:to>
      <xdr:col>3</xdr:col>
      <xdr:colOff>552450</xdr:colOff>
      <xdr:row>123</xdr:row>
      <xdr:rowOff>9525</xdr:rowOff>
    </xdr:to>
    <xdr:pic>
      <xdr:nvPicPr>
        <xdr:cNvPr id="66578" name="ComboBox2"/>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3771900" y="25174575"/>
          <a:ext cx="64770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1200150</xdr:colOff>
      <xdr:row>16</xdr:row>
      <xdr:rowOff>0</xdr:rowOff>
    </xdr:from>
    <xdr:to>
      <xdr:col>3</xdr:col>
      <xdr:colOff>371475</xdr:colOff>
      <xdr:row>17</xdr:row>
      <xdr:rowOff>123825</xdr:rowOff>
    </xdr:to>
    <xdr:pic>
      <xdr:nvPicPr>
        <xdr:cNvPr id="66579" name="cmdTrackChanges"/>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695575" y="5648325"/>
          <a:ext cx="1543050" cy="3333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1200150</xdr:colOff>
      <xdr:row>0</xdr:row>
      <xdr:rowOff>127000</xdr:rowOff>
    </xdr:from>
    <xdr:to>
      <xdr:col>10</xdr:col>
      <xdr:colOff>117526</xdr:colOff>
      <xdr:row>0</xdr:row>
      <xdr:rowOff>292100</xdr:rowOff>
    </xdr:to>
    <xdr:sp macro="" textlink="">
      <xdr:nvSpPr>
        <xdr:cNvPr id="6834" name="WordArt 35">
          <a:hlinkClick xmlns:r="http://schemas.openxmlformats.org/officeDocument/2006/relationships" r:id="rId1"/>
        </xdr:cNvPr>
        <xdr:cNvSpPr>
          <a:spLocks noChangeArrowheads="1" noChangeShapeType="1" noTextEdit="1"/>
        </xdr:cNvSpPr>
      </xdr:nvSpPr>
      <xdr:spPr bwMode="auto">
        <a:xfrm>
          <a:off x="9321800" y="127000"/>
          <a:ext cx="16383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317500</xdr:colOff>
      <xdr:row>0</xdr:row>
      <xdr:rowOff>0</xdr:rowOff>
    </xdr:from>
    <xdr:to>
      <xdr:col>13</xdr:col>
      <xdr:colOff>996837</xdr:colOff>
      <xdr:row>0</xdr:row>
      <xdr:rowOff>266700</xdr:rowOff>
    </xdr:to>
    <xdr:sp macro="" textlink="">
      <xdr:nvSpPr>
        <xdr:cNvPr id="6835" name="WordArt 36">
          <a:hlinkClick xmlns:r="http://schemas.openxmlformats.org/officeDocument/2006/relationships" r:id="rId2"/>
        </xdr:cNvPr>
        <xdr:cNvSpPr>
          <a:spLocks noChangeArrowheads="1" noChangeShapeType="1" noTextEdit="1"/>
        </xdr:cNvSpPr>
      </xdr:nvSpPr>
      <xdr:spPr bwMode="auto">
        <a:xfrm>
          <a:off x="11188700" y="0"/>
          <a:ext cx="23622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5</xdr:col>
      <xdr:colOff>605897</xdr:colOff>
      <xdr:row>0</xdr:row>
      <xdr:rowOff>1176073</xdr:rowOff>
    </xdr:from>
    <xdr:to>
      <xdr:col>5</xdr:col>
      <xdr:colOff>1240897</xdr:colOff>
      <xdr:row>0</xdr:row>
      <xdr:rowOff>1398322</xdr:rowOff>
    </xdr:to>
    <xdr:sp macro="" textlink="">
      <xdr:nvSpPr>
        <xdr:cNvPr id="5" name="Прямоугольник 4">
          <a:hlinkClick xmlns:r="http://schemas.openxmlformats.org/officeDocument/2006/relationships" r:id="rId3"/>
        </xdr:cNvPr>
        <xdr:cNvSpPr/>
      </xdr:nvSpPr>
      <xdr:spPr>
        <a:xfrm>
          <a:off x="11095303" y="1176073"/>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4</xdr:col>
      <xdr:colOff>2143125</xdr:colOff>
      <xdr:row>0</xdr:row>
      <xdr:rowOff>1154906</xdr:rowOff>
    </xdr:from>
    <xdr:to>
      <xdr:col>5</xdr:col>
      <xdr:colOff>447146</xdr:colOff>
      <xdr:row>0</xdr:row>
      <xdr:rowOff>1377156</xdr:rowOff>
    </xdr:to>
    <xdr:sp macro="" textlink="">
      <xdr:nvSpPr>
        <xdr:cNvPr id="6" name="Прямоугольник 5">
          <a:hlinkClick xmlns:r="http://schemas.openxmlformats.org/officeDocument/2006/relationships" r:id="rId4"/>
        </xdr:cNvPr>
        <xdr:cNvSpPr/>
      </xdr:nvSpPr>
      <xdr:spPr>
        <a:xfrm>
          <a:off x="10417969" y="1154906"/>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1</xdr:col>
      <xdr:colOff>1255059</xdr:colOff>
      <xdr:row>176</xdr:row>
      <xdr:rowOff>179295</xdr:rowOff>
    </xdr:from>
    <xdr:to>
      <xdr:col>1</xdr:col>
      <xdr:colOff>1882589</xdr:colOff>
      <xdr:row>178</xdr:row>
      <xdr:rowOff>134471</xdr:rowOff>
    </xdr:to>
    <xdr:pic>
      <xdr:nvPicPr>
        <xdr:cNvPr id="6185" name="Combo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3888441" y="35354560"/>
          <a:ext cx="627530" cy="313764"/>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1900517</xdr:colOff>
      <xdr:row>192</xdr:row>
      <xdr:rowOff>179294</xdr:rowOff>
    </xdr:from>
    <xdr:to>
      <xdr:col>1</xdr:col>
      <xdr:colOff>2243417</xdr:colOff>
      <xdr:row>194</xdr:row>
      <xdr:rowOff>25213</xdr:rowOff>
    </xdr:to>
    <xdr:pic>
      <xdr:nvPicPr>
        <xdr:cNvPr id="6413" name="ComboBox2"/>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4533899" y="38357735"/>
          <a:ext cx="342900" cy="204507"/>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945537</xdr:colOff>
      <xdr:row>19</xdr:row>
      <xdr:rowOff>196902</xdr:rowOff>
    </xdr:from>
    <xdr:to>
      <xdr:col>2</xdr:col>
      <xdr:colOff>129587</xdr:colOff>
      <xdr:row>20</xdr:row>
      <xdr:rowOff>288870</xdr:rowOff>
    </xdr:to>
    <xdr:pic>
      <xdr:nvPicPr>
        <xdr:cNvPr id="6741" name="cmdTrackChanges"/>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3578919" y="5463667"/>
          <a:ext cx="1548492" cy="304879"/>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93889</xdr:colOff>
      <xdr:row>13</xdr:row>
      <xdr:rowOff>122464</xdr:rowOff>
    </xdr:from>
    <xdr:to>
      <xdr:col>13</xdr:col>
      <xdr:colOff>617764</xdr:colOff>
      <xdr:row>16</xdr:row>
      <xdr:rowOff>106136</xdr:rowOff>
    </xdr:to>
    <xdr:pic>
      <xdr:nvPicPr>
        <xdr:cNvPr id="6743" name="CheckBox4"/>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14694353" y="4204607"/>
          <a:ext cx="3408590" cy="432708"/>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0</xdr:col>
      <xdr:colOff>0</xdr:colOff>
      <xdr:row>0</xdr:row>
      <xdr:rowOff>0</xdr:rowOff>
    </xdr:from>
    <xdr:to>
      <xdr:col>10</xdr:col>
      <xdr:colOff>95250</xdr:colOff>
      <xdr:row>0</xdr:row>
      <xdr:rowOff>1401536</xdr:rowOff>
    </xdr:to>
    <xdr:pic>
      <xdr:nvPicPr>
        <xdr:cNvPr id="12" name="Рисунок 11" descr="биогрейс титул.bmp"/>
        <xdr:cNvPicPr>
          <a:picLocks noChangeAspect="1"/>
        </xdr:cNvPicPr>
      </xdr:nvPicPr>
      <xdr:blipFill>
        <a:blip xmlns:r="http://schemas.openxmlformats.org/officeDocument/2006/relationships" r:embed="rId9"/>
        <a:stretch>
          <a:fillRect/>
        </a:stretch>
      </xdr:blipFill>
      <xdr:spPr>
        <a:xfrm>
          <a:off x="0" y="0"/>
          <a:ext cx="13484679" cy="1401536"/>
        </a:xfrm>
        <a:prstGeom prst="rect">
          <a:avLst/>
        </a:prstGeom>
      </xdr:spPr>
    </xdr:pic>
    <xdr:clientData/>
  </xdr:twoCellAnchor>
  <xdr:twoCellAnchor editAs="oneCell">
    <xdr:from>
      <xdr:col>9</xdr:col>
      <xdr:colOff>40821</xdr:colOff>
      <xdr:row>16</xdr:row>
      <xdr:rowOff>40821</xdr:rowOff>
    </xdr:from>
    <xdr:to>
      <xdr:col>13</xdr:col>
      <xdr:colOff>918011</xdr:colOff>
      <xdr:row>17</xdr:row>
      <xdr:rowOff>137393</xdr:rowOff>
    </xdr:to>
    <xdr:pic>
      <xdr:nvPicPr>
        <xdr:cNvPr id="13" name="Рисунок 12" descr="Безымянный.bmp"/>
        <xdr:cNvPicPr>
          <a:picLocks noChangeAspect="1"/>
        </xdr:cNvPicPr>
      </xdr:nvPicPr>
      <xdr:blipFill>
        <a:blip xmlns:r="http://schemas.openxmlformats.org/officeDocument/2006/relationships" r:embed="rId10"/>
        <a:stretch>
          <a:fillRect/>
        </a:stretch>
      </xdr:blipFill>
      <xdr:spPr>
        <a:xfrm>
          <a:off x="14641285" y="4572000"/>
          <a:ext cx="3761905" cy="3142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885825</xdr:colOff>
      <xdr:row>1</xdr:row>
      <xdr:rowOff>0</xdr:rowOff>
    </xdr:to>
    <xdr:pic>
      <xdr:nvPicPr>
        <xdr:cNvPr id="2" name="Picture 34"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58250" cy="161925"/>
        </a:xfrm>
        <a:prstGeom prst="rect">
          <a:avLst/>
        </a:prstGeom>
        <a:noFill/>
        <a:ln w="9525">
          <a:noFill/>
          <a:miter lim="800000"/>
          <a:headEnd/>
          <a:tailEnd/>
        </a:ln>
      </xdr:spPr>
    </xdr:pic>
    <xdr:clientData/>
  </xdr:twoCellAnchor>
  <xdr:twoCellAnchor>
    <xdr:from>
      <xdr:col>7</xdr:col>
      <xdr:colOff>1200150</xdr:colOff>
      <xdr:row>0</xdr:row>
      <xdr:rowOff>127000</xdr:rowOff>
    </xdr:from>
    <xdr:to>
      <xdr:col>10</xdr:col>
      <xdr:colOff>117526</xdr:colOff>
      <xdr:row>0</xdr:row>
      <xdr:rowOff>292100</xdr:rowOff>
    </xdr:to>
    <xdr:sp macro="" textlink="">
      <xdr:nvSpPr>
        <xdr:cNvPr id="3" name="WordArt 35">
          <a:hlinkClick xmlns:r="http://schemas.openxmlformats.org/officeDocument/2006/relationships" r:id="rId2"/>
        </xdr:cNvPr>
        <xdr:cNvSpPr>
          <a:spLocks noChangeArrowheads="1" noChangeShapeType="1" noTextEdit="1"/>
        </xdr:cNvSpPr>
      </xdr:nvSpPr>
      <xdr:spPr bwMode="auto">
        <a:xfrm>
          <a:off x="4724400" y="127000"/>
          <a:ext cx="1298626" cy="317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317500</xdr:colOff>
      <xdr:row>0</xdr:row>
      <xdr:rowOff>0</xdr:rowOff>
    </xdr:from>
    <xdr:to>
      <xdr:col>13</xdr:col>
      <xdr:colOff>996837</xdr:colOff>
      <xdr:row>0</xdr:row>
      <xdr:rowOff>266700</xdr:rowOff>
    </xdr:to>
    <xdr:sp macro="" textlink="">
      <xdr:nvSpPr>
        <xdr:cNvPr id="4" name="WordArt 36">
          <a:hlinkClick xmlns:r="http://schemas.openxmlformats.org/officeDocument/2006/relationships" r:id="rId3"/>
        </xdr:cNvPr>
        <xdr:cNvSpPr>
          <a:spLocks noChangeArrowheads="1" noChangeShapeType="1" noTextEdit="1"/>
        </xdr:cNvSpPr>
      </xdr:nvSpPr>
      <xdr:spPr bwMode="auto">
        <a:xfrm>
          <a:off x="6223000" y="0"/>
          <a:ext cx="2041412"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editAs="oneCell">
    <xdr:from>
      <xdr:col>9</xdr:col>
      <xdr:colOff>288131</xdr:colOff>
      <xdr:row>16</xdr:row>
      <xdr:rowOff>71437</xdr:rowOff>
    </xdr:from>
    <xdr:to>
      <xdr:col>14</xdr:col>
      <xdr:colOff>69056</xdr:colOff>
      <xdr:row>18</xdr:row>
      <xdr:rowOff>90487</xdr:rowOff>
    </xdr:to>
    <xdr:pic>
      <xdr:nvPicPr>
        <xdr:cNvPr id="67609" name="CheckBox2"/>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9146381" y="5083968"/>
          <a:ext cx="2888456" cy="4476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9</xdr:col>
      <xdr:colOff>97631</xdr:colOff>
      <xdr:row>13</xdr:row>
      <xdr:rowOff>107156</xdr:rowOff>
    </xdr:from>
    <xdr:to>
      <xdr:col>13</xdr:col>
      <xdr:colOff>988218</xdr:colOff>
      <xdr:row>16</xdr:row>
      <xdr:rowOff>166688</xdr:rowOff>
    </xdr:to>
    <xdr:pic>
      <xdr:nvPicPr>
        <xdr:cNvPr id="67610" name="CheckBox1"/>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8955881" y="4655344"/>
          <a:ext cx="2878931" cy="5238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xdr:col>
      <xdr:colOff>581025</xdr:colOff>
      <xdr:row>177</xdr:row>
      <xdr:rowOff>0</xdr:rowOff>
    </xdr:from>
    <xdr:to>
      <xdr:col>1</xdr:col>
      <xdr:colOff>1162050</xdr:colOff>
      <xdr:row>178</xdr:row>
      <xdr:rowOff>38100</xdr:rowOff>
    </xdr:to>
    <xdr:pic>
      <xdr:nvPicPr>
        <xdr:cNvPr id="67611" name="ComboBox1"/>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076450" y="34537650"/>
          <a:ext cx="581025" cy="23812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552450</xdr:colOff>
      <xdr:row>193</xdr:row>
      <xdr:rowOff>0</xdr:rowOff>
    </xdr:from>
    <xdr:to>
      <xdr:col>1</xdr:col>
      <xdr:colOff>1104900</xdr:colOff>
      <xdr:row>194</xdr:row>
      <xdr:rowOff>9525</xdr:rowOff>
    </xdr:to>
    <xdr:pic>
      <xdr:nvPicPr>
        <xdr:cNvPr id="67612" name="ComboBox2"/>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2047875" y="37585650"/>
          <a:ext cx="552450" cy="2095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twoCellAnchor editAs="oneCell">
    <xdr:from>
      <xdr:col>1</xdr:col>
      <xdr:colOff>1181100</xdr:colOff>
      <xdr:row>19</xdr:row>
      <xdr:rowOff>0</xdr:rowOff>
    </xdr:from>
    <xdr:to>
      <xdr:col>3</xdr:col>
      <xdr:colOff>333375</xdr:colOff>
      <xdr:row>20</xdr:row>
      <xdr:rowOff>104775</xdr:rowOff>
    </xdr:to>
    <xdr:pic>
      <xdr:nvPicPr>
        <xdr:cNvPr id="67613" name="cmdTrackChanges"/>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676525" y="5600700"/>
          <a:ext cx="1524000" cy="31432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679450</xdr:colOff>
      <xdr:row>0</xdr:row>
      <xdr:rowOff>127000</xdr:rowOff>
    </xdr:from>
    <xdr:to>
      <xdr:col>11</xdr:col>
      <xdr:colOff>692029</xdr:colOff>
      <xdr:row>0</xdr:row>
      <xdr:rowOff>292100</xdr:rowOff>
    </xdr:to>
    <xdr:sp macro="" textlink="">
      <xdr:nvSpPr>
        <xdr:cNvPr id="4" name="WordArt 18">
          <a:hlinkClick xmlns:r="http://schemas.openxmlformats.org/officeDocument/2006/relationships" r:id="rId1"/>
        </xdr:cNvPr>
        <xdr:cNvSpPr>
          <a:spLocks noChangeArrowheads="1" noChangeShapeType="1" noTextEdit="1"/>
        </xdr:cNvSpPr>
      </xdr:nvSpPr>
      <xdr:spPr bwMode="auto">
        <a:xfrm>
          <a:off x="9271000" y="127000"/>
          <a:ext cx="1441329"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11</xdr:col>
      <xdr:colOff>892175</xdr:colOff>
      <xdr:row>0</xdr:row>
      <xdr:rowOff>0</xdr:rowOff>
    </xdr:from>
    <xdr:to>
      <xdr:col>14</xdr:col>
      <xdr:colOff>238125</xdr:colOff>
      <xdr:row>0</xdr:row>
      <xdr:rowOff>266700</xdr:rowOff>
    </xdr:to>
    <xdr:sp macro="" textlink="">
      <xdr:nvSpPr>
        <xdr:cNvPr id="5" name="WordArt 19">
          <a:hlinkClick xmlns:r="http://schemas.openxmlformats.org/officeDocument/2006/relationships" r:id="rId2"/>
        </xdr:cNvPr>
        <xdr:cNvSpPr>
          <a:spLocks noChangeArrowheads="1" noChangeShapeType="1" noTextEdit="1"/>
        </xdr:cNvSpPr>
      </xdr:nvSpPr>
      <xdr:spPr bwMode="auto">
        <a:xfrm>
          <a:off x="10912475" y="0"/>
          <a:ext cx="1851025"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13</xdr:col>
      <xdr:colOff>225425</xdr:colOff>
      <xdr:row>0</xdr:row>
      <xdr:rowOff>914400</xdr:rowOff>
    </xdr:from>
    <xdr:to>
      <xdr:col>14</xdr:col>
      <xdr:colOff>238125</xdr:colOff>
      <xdr:row>0</xdr:row>
      <xdr:rowOff>1273256</xdr:rowOff>
    </xdr:to>
    <xdr:sp macro="" textlink="">
      <xdr:nvSpPr>
        <xdr:cNvPr id="6" name="WordArt 21">
          <a:hlinkClick xmlns:r="http://schemas.openxmlformats.org/officeDocument/2006/relationships" r:id="rId3"/>
        </xdr:cNvPr>
        <xdr:cNvSpPr>
          <a:spLocks noChangeArrowheads="1" noChangeShapeType="1" noTextEdit="1"/>
        </xdr:cNvSpPr>
      </xdr:nvSpPr>
      <xdr:spPr bwMode="auto">
        <a:xfrm>
          <a:off x="11960225" y="914400"/>
          <a:ext cx="803275" cy="358856"/>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0</xdr:col>
      <xdr:colOff>0</xdr:colOff>
      <xdr:row>0</xdr:row>
      <xdr:rowOff>0</xdr:rowOff>
    </xdr:from>
    <xdr:to>
      <xdr:col>13</xdr:col>
      <xdr:colOff>547687</xdr:colOff>
      <xdr:row>0</xdr:row>
      <xdr:rowOff>1154906</xdr:rowOff>
    </xdr:to>
    <xdr:pic>
      <xdr:nvPicPr>
        <xdr:cNvPr id="7" name="Рисунок 6" descr="биогрейс титул.bmp"/>
        <xdr:cNvPicPr>
          <a:picLocks noChangeAspect="1"/>
        </xdr:cNvPicPr>
      </xdr:nvPicPr>
      <xdr:blipFill>
        <a:blip xmlns:r="http://schemas.openxmlformats.org/officeDocument/2006/relationships" r:embed="rId4"/>
        <a:stretch>
          <a:fillRect/>
        </a:stretch>
      </xdr:blipFill>
      <xdr:spPr>
        <a:xfrm>
          <a:off x="0" y="0"/>
          <a:ext cx="13096875" cy="11549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361950</xdr:colOff>
      <xdr:row>1</xdr:row>
      <xdr:rowOff>0</xdr:rowOff>
    </xdr:to>
    <xdr:pic>
      <xdr:nvPicPr>
        <xdr:cNvPr id="3903" name="Picture 16"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887325" cy="1295400"/>
        </a:xfrm>
        <a:prstGeom prst="rect">
          <a:avLst/>
        </a:prstGeom>
        <a:noFill/>
        <a:ln w="9525">
          <a:noFill/>
          <a:miter lim="800000"/>
          <a:headEnd/>
          <a:tailEnd/>
        </a:ln>
      </xdr:spPr>
    </xdr:pic>
    <xdr:clientData/>
  </xdr:twoCellAnchor>
  <xdr:twoCellAnchor editAs="oneCell">
    <xdr:from>
      <xdr:col>14</xdr:col>
      <xdr:colOff>1162050</xdr:colOff>
      <xdr:row>0</xdr:row>
      <xdr:rowOff>0</xdr:rowOff>
    </xdr:from>
    <xdr:to>
      <xdr:col>24</xdr:col>
      <xdr:colOff>171450</xdr:colOff>
      <xdr:row>1</xdr:row>
      <xdr:rowOff>0</xdr:rowOff>
    </xdr:to>
    <xdr:pic>
      <xdr:nvPicPr>
        <xdr:cNvPr id="3904" name="Picture 17" descr="Header_Ziffern_300dpi_rgb"/>
        <xdr:cNvPicPr>
          <a:picLocks noChangeAspect="1" noChangeArrowheads="1"/>
        </xdr:cNvPicPr>
      </xdr:nvPicPr>
      <xdr:blipFill>
        <a:blip xmlns:r="http://schemas.openxmlformats.org/officeDocument/2006/relationships" r:embed="rId2" cstate="print"/>
        <a:srcRect/>
        <a:stretch>
          <a:fillRect/>
        </a:stretch>
      </xdr:blipFill>
      <xdr:spPr bwMode="auto">
        <a:xfrm>
          <a:off x="13325475" y="0"/>
          <a:ext cx="12887325" cy="1295400"/>
        </a:xfrm>
        <a:prstGeom prst="rect">
          <a:avLst/>
        </a:prstGeom>
        <a:noFill/>
        <a:ln w="9525">
          <a:noFill/>
          <a:miter lim="800000"/>
          <a:headEnd/>
          <a:tailEnd/>
        </a:ln>
      </xdr:spPr>
    </xdr:pic>
    <xdr:clientData/>
  </xdr:twoCellAnchor>
  <xdr:twoCellAnchor>
    <xdr:from>
      <xdr:col>9</xdr:col>
      <xdr:colOff>679450</xdr:colOff>
      <xdr:row>0</xdr:row>
      <xdr:rowOff>127000</xdr:rowOff>
    </xdr:from>
    <xdr:to>
      <xdr:col>11</xdr:col>
      <xdr:colOff>692029</xdr:colOff>
      <xdr:row>0</xdr:row>
      <xdr:rowOff>292100</xdr:rowOff>
    </xdr:to>
    <xdr:sp macro="" textlink="">
      <xdr:nvSpPr>
        <xdr:cNvPr id="3884" name="WordArt 18">
          <a:hlinkClick xmlns:r="http://schemas.openxmlformats.org/officeDocument/2006/relationships" r:id="rId3"/>
        </xdr:cNvPr>
        <xdr:cNvSpPr>
          <a:spLocks noChangeArrowheads="1" noChangeShapeType="1" noTextEdit="1"/>
        </xdr:cNvSpPr>
      </xdr:nvSpPr>
      <xdr:spPr bwMode="auto">
        <a:xfrm>
          <a:off x="10579100" y="127000"/>
          <a:ext cx="16383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11</xdr:col>
      <xdr:colOff>892175</xdr:colOff>
      <xdr:row>0</xdr:row>
      <xdr:rowOff>0</xdr:rowOff>
    </xdr:from>
    <xdr:to>
      <xdr:col>14</xdr:col>
      <xdr:colOff>238125</xdr:colOff>
      <xdr:row>0</xdr:row>
      <xdr:rowOff>266700</xdr:rowOff>
    </xdr:to>
    <xdr:sp macro="" textlink="">
      <xdr:nvSpPr>
        <xdr:cNvPr id="3885" name="WordArt 19">
          <a:hlinkClick xmlns:r="http://schemas.openxmlformats.org/officeDocument/2006/relationships" r:id="rId4"/>
        </xdr:cNvPr>
        <xdr:cNvSpPr>
          <a:spLocks noChangeArrowheads="1" noChangeShapeType="1" noTextEdit="1"/>
        </xdr:cNvSpPr>
      </xdr:nvSpPr>
      <xdr:spPr bwMode="auto">
        <a:xfrm>
          <a:off x="12446000" y="0"/>
          <a:ext cx="21082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13</xdr:col>
      <xdr:colOff>225425</xdr:colOff>
      <xdr:row>0</xdr:row>
      <xdr:rowOff>914400</xdr:rowOff>
    </xdr:from>
    <xdr:to>
      <xdr:col>14</xdr:col>
      <xdr:colOff>238125</xdr:colOff>
      <xdr:row>0</xdr:row>
      <xdr:rowOff>1273256</xdr:rowOff>
    </xdr:to>
    <xdr:sp macro="" textlink="">
      <xdr:nvSpPr>
        <xdr:cNvPr id="3886" name="WordArt 21">
          <a:hlinkClick xmlns:r="http://schemas.openxmlformats.org/officeDocument/2006/relationships" r:id="rId5"/>
        </xdr:cNvPr>
        <xdr:cNvSpPr>
          <a:spLocks noChangeArrowheads="1" noChangeShapeType="1" noTextEdit="1"/>
        </xdr:cNvSpPr>
      </xdr:nvSpPr>
      <xdr:spPr bwMode="auto">
        <a:xfrm>
          <a:off x="13639800" y="914400"/>
          <a:ext cx="914400" cy="3683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352425</xdr:colOff>
      <xdr:row>1</xdr:row>
      <xdr:rowOff>0</xdr:rowOff>
    </xdr:to>
    <xdr:pic>
      <xdr:nvPicPr>
        <xdr:cNvPr id="2909" name="Picture 45"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887325" cy="1295400"/>
        </a:xfrm>
        <a:prstGeom prst="rect">
          <a:avLst/>
        </a:prstGeom>
        <a:noFill/>
        <a:ln w="9525">
          <a:noFill/>
          <a:miter lim="800000"/>
          <a:headEnd/>
          <a:tailEnd/>
        </a:ln>
      </xdr:spPr>
    </xdr:pic>
    <xdr:clientData/>
  </xdr:twoCellAnchor>
  <xdr:twoCellAnchor editAs="oneCell">
    <xdr:from>
      <xdr:col>15</xdr:col>
      <xdr:colOff>0</xdr:colOff>
      <xdr:row>0</xdr:row>
      <xdr:rowOff>0</xdr:rowOff>
    </xdr:from>
    <xdr:to>
      <xdr:col>21</xdr:col>
      <xdr:colOff>76200</xdr:colOff>
      <xdr:row>1</xdr:row>
      <xdr:rowOff>0</xdr:rowOff>
    </xdr:to>
    <xdr:pic>
      <xdr:nvPicPr>
        <xdr:cNvPr id="2910" name="Picture 46" descr="Header_Ziffern_300dpi_rgb"/>
        <xdr:cNvPicPr>
          <a:picLocks noChangeAspect="1" noChangeArrowheads="1"/>
        </xdr:cNvPicPr>
      </xdr:nvPicPr>
      <xdr:blipFill>
        <a:blip xmlns:r="http://schemas.openxmlformats.org/officeDocument/2006/relationships" r:embed="rId2" cstate="print"/>
        <a:srcRect/>
        <a:stretch>
          <a:fillRect/>
        </a:stretch>
      </xdr:blipFill>
      <xdr:spPr bwMode="auto">
        <a:xfrm>
          <a:off x="13335000" y="0"/>
          <a:ext cx="15582900" cy="1295400"/>
        </a:xfrm>
        <a:prstGeom prst="rect">
          <a:avLst/>
        </a:prstGeom>
        <a:noFill/>
        <a:ln w="9525">
          <a:noFill/>
          <a:miter lim="800000"/>
          <a:headEnd/>
          <a:tailEnd/>
        </a:ln>
      </xdr:spPr>
    </xdr:pic>
    <xdr:clientData/>
  </xdr:twoCellAnchor>
  <xdr:twoCellAnchor>
    <xdr:from>
      <xdr:col>9</xdr:col>
      <xdr:colOff>403225</xdr:colOff>
      <xdr:row>0</xdr:row>
      <xdr:rowOff>139700</xdr:rowOff>
    </xdr:from>
    <xdr:to>
      <xdr:col>11</xdr:col>
      <xdr:colOff>415925</xdr:colOff>
      <xdr:row>0</xdr:row>
      <xdr:rowOff>304800</xdr:rowOff>
    </xdr:to>
    <xdr:sp macro="" textlink="">
      <xdr:nvSpPr>
        <xdr:cNvPr id="2893" name="WordArt 47">
          <a:hlinkClick xmlns:r="http://schemas.openxmlformats.org/officeDocument/2006/relationships" r:id="rId3"/>
        </xdr:cNvPr>
        <xdr:cNvSpPr>
          <a:spLocks noChangeArrowheads="1" noChangeShapeType="1" noTextEdit="1"/>
        </xdr:cNvSpPr>
      </xdr:nvSpPr>
      <xdr:spPr bwMode="auto">
        <a:xfrm>
          <a:off x="10261600" y="139700"/>
          <a:ext cx="1638300" cy="1651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504825</xdr:colOff>
      <xdr:row>0</xdr:row>
      <xdr:rowOff>22225</xdr:rowOff>
    </xdr:from>
    <xdr:to>
      <xdr:col>13</xdr:col>
      <xdr:colOff>196832</xdr:colOff>
      <xdr:row>0</xdr:row>
      <xdr:rowOff>279400</xdr:rowOff>
    </xdr:to>
    <xdr:sp macro="" textlink="">
      <xdr:nvSpPr>
        <xdr:cNvPr id="2896" name="WordArt 50">
          <a:hlinkClick xmlns:r="http://schemas.openxmlformats.org/officeDocument/2006/relationships" r:id="rId4"/>
        </xdr:cNvPr>
        <xdr:cNvSpPr>
          <a:spLocks noChangeArrowheads="1" noChangeShapeType="1" noTextEdit="1"/>
        </xdr:cNvSpPr>
      </xdr:nvSpPr>
      <xdr:spPr bwMode="auto">
        <a:xfrm>
          <a:off x="11176000" y="12700"/>
          <a:ext cx="2425700" cy="266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128270</xdr:colOff>
      <xdr:row>8</xdr:row>
      <xdr:rowOff>858520</xdr:rowOff>
    </xdr:from>
    <xdr:to>
      <xdr:col>14</xdr:col>
      <xdr:colOff>886168</xdr:colOff>
      <xdr:row>9</xdr:row>
      <xdr:rowOff>12742</xdr:rowOff>
    </xdr:to>
    <xdr:sp macro="" textlink="">
      <xdr:nvSpPr>
        <xdr:cNvPr id="3" name="WordArt 16">
          <a:hlinkClick xmlns:r="http://schemas.openxmlformats.org/officeDocument/2006/relationships" r:id="rId1"/>
        </xdr:cNvPr>
        <xdr:cNvSpPr>
          <a:spLocks noChangeArrowheads="1" noChangeShapeType="1" noTextEdit="1"/>
        </xdr:cNvSpPr>
      </xdr:nvSpPr>
      <xdr:spPr bwMode="auto">
        <a:xfrm>
          <a:off x="11186795" y="2687320"/>
          <a:ext cx="1091273" cy="11472"/>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1</xdr:col>
      <xdr:colOff>363009</xdr:colOff>
      <xdr:row>0</xdr:row>
      <xdr:rowOff>21167</xdr:rowOff>
    </xdr:from>
    <xdr:to>
      <xdr:col>1</xdr:col>
      <xdr:colOff>998009</xdr:colOff>
      <xdr:row>0</xdr:row>
      <xdr:rowOff>243416</xdr:rowOff>
    </xdr:to>
    <xdr:sp macro="" textlink="">
      <xdr:nvSpPr>
        <xdr:cNvPr id="4" name="Прямоугольник 3">
          <a:hlinkClick xmlns:r="http://schemas.openxmlformats.org/officeDocument/2006/relationships" r:id="rId2"/>
        </xdr:cNvPr>
        <xdr:cNvSpPr/>
      </xdr:nvSpPr>
      <xdr:spPr>
        <a:xfrm>
          <a:off x="677334" y="2116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0</xdr:col>
      <xdr:colOff>0</xdr:colOff>
      <xdr:row>0</xdr:row>
      <xdr:rowOff>0</xdr:rowOff>
    </xdr:from>
    <xdr:to>
      <xdr:col>1</xdr:col>
      <xdr:colOff>204258</xdr:colOff>
      <xdr:row>0</xdr:row>
      <xdr:rowOff>222250</xdr:rowOff>
    </xdr:to>
    <xdr:sp macro="" textlink="">
      <xdr:nvSpPr>
        <xdr:cNvPr id="5" name="Прямоугольник 4">
          <a:hlinkClick xmlns:r="http://schemas.openxmlformats.org/officeDocument/2006/relationships" r:id="rId3"/>
        </xdr:cNvPr>
        <xdr:cNvSpPr/>
      </xdr:nvSpPr>
      <xdr:spPr>
        <a:xfrm>
          <a:off x="0" y="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12</xdr:col>
      <xdr:colOff>372534</xdr:colOff>
      <xdr:row>0</xdr:row>
      <xdr:rowOff>840317</xdr:rowOff>
    </xdr:from>
    <xdr:to>
      <xdr:col>12</xdr:col>
      <xdr:colOff>1007534</xdr:colOff>
      <xdr:row>0</xdr:row>
      <xdr:rowOff>1062566</xdr:rowOff>
    </xdr:to>
    <xdr:sp macro="" textlink="">
      <xdr:nvSpPr>
        <xdr:cNvPr id="6" name="Прямоугольник 5">
          <a:hlinkClick xmlns:r="http://schemas.openxmlformats.org/officeDocument/2006/relationships" r:id="rId4"/>
        </xdr:cNvPr>
        <xdr:cNvSpPr/>
      </xdr:nvSpPr>
      <xdr:spPr>
        <a:xfrm>
          <a:off x="9373659" y="84031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11</xdr:col>
      <xdr:colOff>304800</xdr:colOff>
      <xdr:row>0</xdr:row>
      <xdr:rowOff>819150</xdr:rowOff>
    </xdr:from>
    <xdr:to>
      <xdr:col>12</xdr:col>
      <xdr:colOff>213783</xdr:colOff>
      <xdr:row>0</xdr:row>
      <xdr:rowOff>1041400</xdr:rowOff>
    </xdr:to>
    <xdr:sp macro="" textlink="">
      <xdr:nvSpPr>
        <xdr:cNvPr id="7" name="Прямоугольник 6">
          <a:hlinkClick xmlns:r="http://schemas.openxmlformats.org/officeDocument/2006/relationships" r:id="rId5"/>
        </xdr:cNvPr>
        <xdr:cNvSpPr/>
      </xdr:nvSpPr>
      <xdr:spPr>
        <a:xfrm>
          <a:off x="8696325" y="81915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0</xdr:colOff>
      <xdr:row>0</xdr:row>
      <xdr:rowOff>9525</xdr:rowOff>
    </xdr:from>
    <xdr:to>
      <xdr:col>12</xdr:col>
      <xdr:colOff>1732191</xdr:colOff>
      <xdr:row>0</xdr:row>
      <xdr:rowOff>1066668</xdr:rowOff>
    </xdr:to>
    <xdr:pic>
      <xdr:nvPicPr>
        <xdr:cNvPr id="8" name="Рисунок 7" descr="биогрейс титул.bmp"/>
        <xdr:cNvPicPr>
          <a:picLocks noChangeAspect="1"/>
        </xdr:cNvPicPr>
      </xdr:nvPicPr>
      <xdr:blipFill>
        <a:blip xmlns:r="http://schemas.openxmlformats.org/officeDocument/2006/relationships" r:embed="rId6"/>
        <a:stretch>
          <a:fillRect/>
        </a:stretch>
      </xdr:blipFill>
      <xdr:spPr>
        <a:xfrm>
          <a:off x="0" y="9525"/>
          <a:ext cx="10876191" cy="1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726282</xdr:colOff>
      <xdr:row>1</xdr:row>
      <xdr:rowOff>0</xdr:rowOff>
    </xdr:to>
    <xdr:pic>
      <xdr:nvPicPr>
        <xdr:cNvPr id="2" name="Picture 13"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08282" cy="161925"/>
        </a:xfrm>
        <a:prstGeom prst="rect">
          <a:avLst/>
        </a:prstGeom>
        <a:noFill/>
        <a:ln w="9525">
          <a:noFill/>
          <a:miter lim="800000"/>
          <a:headEnd/>
          <a:tailEnd/>
        </a:ln>
      </xdr:spPr>
    </xdr:pic>
    <xdr:clientData/>
  </xdr:twoCellAnchor>
  <xdr:twoCellAnchor>
    <xdr:from>
      <xdr:col>8</xdr:col>
      <xdr:colOff>117475</xdr:colOff>
      <xdr:row>0</xdr:row>
      <xdr:rowOff>127000</xdr:rowOff>
    </xdr:from>
    <xdr:to>
      <xdr:col>10</xdr:col>
      <xdr:colOff>38108</xdr:colOff>
      <xdr:row>0</xdr:row>
      <xdr:rowOff>292100</xdr:rowOff>
    </xdr:to>
    <xdr:sp macro="" textlink="">
      <xdr:nvSpPr>
        <xdr:cNvPr id="3" name="WordArt 2">
          <a:hlinkClick xmlns:r="http://schemas.openxmlformats.org/officeDocument/2006/relationships" r:id="rId2"/>
        </xdr:cNvPr>
        <xdr:cNvSpPr>
          <a:spLocks noChangeArrowheads="1" noChangeShapeType="1" noTextEdit="1"/>
        </xdr:cNvSpPr>
      </xdr:nvSpPr>
      <xdr:spPr bwMode="auto">
        <a:xfrm>
          <a:off x="6213475" y="127000"/>
          <a:ext cx="1444633" cy="317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10</xdr:col>
      <xdr:colOff>228600</xdr:colOff>
      <xdr:row>0</xdr:row>
      <xdr:rowOff>0</xdr:rowOff>
    </xdr:from>
    <xdr:to>
      <xdr:col>13</xdr:col>
      <xdr:colOff>0</xdr:colOff>
      <xdr:row>0</xdr:row>
      <xdr:rowOff>266700</xdr:rowOff>
    </xdr:to>
    <xdr:sp macro="" textlink="">
      <xdr:nvSpPr>
        <xdr:cNvPr id="4" name="WordArt 3">
          <a:hlinkClick xmlns:r="http://schemas.openxmlformats.org/officeDocument/2006/relationships" r:id="rId3"/>
        </xdr:cNvPr>
        <xdr:cNvSpPr>
          <a:spLocks noChangeArrowheads="1" noChangeShapeType="1" noTextEdit="1"/>
        </xdr:cNvSpPr>
      </xdr:nvSpPr>
      <xdr:spPr bwMode="auto">
        <a:xfrm>
          <a:off x="7848600" y="0"/>
          <a:ext cx="2057400" cy="16192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twoCellAnchor>
    <xdr:from>
      <xdr:col>10</xdr:col>
      <xdr:colOff>577850</xdr:colOff>
      <xdr:row>0</xdr:row>
      <xdr:rowOff>1054100</xdr:rowOff>
    </xdr:from>
    <xdr:to>
      <xdr:col>11</xdr:col>
      <xdr:colOff>307637</xdr:colOff>
      <xdr:row>0</xdr:row>
      <xdr:rowOff>1244600</xdr:rowOff>
    </xdr:to>
    <xdr:sp macro="" textlink="">
      <xdr:nvSpPr>
        <xdr:cNvPr id="5" name="WordArt 4">
          <a:hlinkClick xmlns:r="http://schemas.openxmlformats.org/officeDocument/2006/relationships" r:id="rId4"/>
        </xdr:cNvPr>
        <xdr:cNvSpPr>
          <a:spLocks noChangeArrowheads="1" noChangeShapeType="1" noTextEdit="1"/>
        </xdr:cNvSpPr>
      </xdr:nvSpPr>
      <xdr:spPr bwMode="auto">
        <a:xfrm>
          <a:off x="8197850" y="158750"/>
          <a:ext cx="491787"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600075</xdr:colOff>
      <xdr:row>0</xdr:row>
      <xdr:rowOff>1054100</xdr:rowOff>
    </xdr:from>
    <xdr:to>
      <xdr:col>12</xdr:col>
      <xdr:colOff>561975</xdr:colOff>
      <xdr:row>0</xdr:row>
      <xdr:rowOff>1244600</xdr:rowOff>
    </xdr:to>
    <xdr:sp macro="" textlink="">
      <xdr:nvSpPr>
        <xdr:cNvPr id="6" name="WordArt 5">
          <a:hlinkClick xmlns:r="http://schemas.openxmlformats.org/officeDocument/2006/relationships" r:id="rId5"/>
        </xdr:cNvPr>
        <xdr:cNvSpPr>
          <a:spLocks noChangeArrowheads="1" noChangeShapeType="1" noTextEdit="1"/>
        </xdr:cNvSpPr>
      </xdr:nvSpPr>
      <xdr:spPr bwMode="auto">
        <a:xfrm>
          <a:off x="8982075" y="158750"/>
          <a:ext cx="72390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4</xdr:col>
      <xdr:colOff>171450</xdr:colOff>
      <xdr:row>0</xdr:row>
      <xdr:rowOff>50800</xdr:rowOff>
    </xdr:from>
    <xdr:to>
      <xdr:col>6</xdr:col>
      <xdr:colOff>79377</xdr:colOff>
      <xdr:row>0</xdr:row>
      <xdr:rowOff>215900</xdr:rowOff>
    </xdr:to>
    <xdr:sp macro="" textlink="">
      <xdr:nvSpPr>
        <xdr:cNvPr id="7" name="WordArt 9">
          <a:hlinkClick xmlns:r="http://schemas.openxmlformats.org/officeDocument/2006/relationships" r:id="rId2"/>
        </xdr:cNvPr>
        <xdr:cNvSpPr>
          <a:spLocks noChangeArrowheads="1" noChangeShapeType="1" noTextEdit="1"/>
        </xdr:cNvSpPr>
      </xdr:nvSpPr>
      <xdr:spPr bwMode="auto">
        <a:xfrm>
          <a:off x="3219450" y="50800"/>
          <a:ext cx="1431927" cy="10795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www.biograce.net</a:t>
          </a:r>
        </a:p>
      </xdr:txBody>
    </xdr:sp>
    <xdr:clientData/>
  </xdr:twoCellAnchor>
  <xdr:twoCellAnchor>
    <xdr:from>
      <xdr:col>6</xdr:col>
      <xdr:colOff>400050</xdr:colOff>
      <xdr:row>0</xdr:row>
      <xdr:rowOff>25400</xdr:rowOff>
    </xdr:from>
    <xdr:to>
      <xdr:col>8</xdr:col>
      <xdr:colOff>279313</xdr:colOff>
      <xdr:row>0</xdr:row>
      <xdr:rowOff>279400</xdr:rowOff>
    </xdr:to>
    <xdr:sp macro="" textlink="">
      <xdr:nvSpPr>
        <xdr:cNvPr id="8" name="WordArt 10">
          <a:hlinkClick xmlns:r="http://schemas.openxmlformats.org/officeDocument/2006/relationships" r:id="rId3"/>
        </xdr:cNvPr>
        <xdr:cNvSpPr>
          <a:spLocks noChangeArrowheads="1" noChangeShapeType="1" noTextEdit="1"/>
        </xdr:cNvSpPr>
      </xdr:nvSpPr>
      <xdr:spPr bwMode="auto">
        <a:xfrm>
          <a:off x="4972050" y="25400"/>
          <a:ext cx="1403263" cy="1397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800" kern="10" cap="small" spc="0">
              <a:ln w="9525">
                <a:noFill/>
                <a:round/>
                <a:headEnd/>
                <a:tailEnd/>
              </a:ln>
              <a:noFill/>
              <a:latin typeface="Arial Black"/>
              <a:ea typeface="Arial Black"/>
              <a:cs typeface="Arial Black"/>
            </a:rPr>
            <a:t>intelligent energy europe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3145790</xdr:colOff>
      <xdr:row>0</xdr:row>
      <xdr:rowOff>922655</xdr:rowOff>
    </xdr:from>
    <xdr:to>
      <xdr:col>11</xdr:col>
      <xdr:colOff>3882259</xdr:colOff>
      <xdr:row>0</xdr:row>
      <xdr:rowOff>1278255</xdr:rowOff>
    </xdr:to>
    <xdr:sp macro="" textlink="">
      <xdr:nvSpPr>
        <xdr:cNvPr id="2" name="WordArt 2">
          <a:hlinkClick xmlns:r="http://schemas.openxmlformats.org/officeDocument/2006/relationships" r:id="rId1"/>
        </xdr:cNvPr>
        <xdr:cNvSpPr>
          <a:spLocks noChangeArrowheads="1" noChangeShapeType="1" noTextEdit="1"/>
        </xdr:cNvSpPr>
      </xdr:nvSpPr>
      <xdr:spPr bwMode="auto">
        <a:xfrm>
          <a:off x="7317740" y="160655"/>
          <a:ext cx="0" cy="31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4006850</xdr:colOff>
      <xdr:row>0</xdr:row>
      <xdr:rowOff>847725</xdr:rowOff>
    </xdr:from>
    <xdr:to>
      <xdr:col>11</xdr:col>
      <xdr:colOff>4929107</xdr:colOff>
      <xdr:row>0</xdr:row>
      <xdr:rowOff>1295400</xdr:rowOff>
    </xdr:to>
    <xdr:sp macro="" textlink="">
      <xdr:nvSpPr>
        <xdr:cNvPr id="3" name="WordArt 3">
          <a:hlinkClick xmlns:r="http://schemas.openxmlformats.org/officeDocument/2006/relationships" r:id="rId2"/>
        </xdr:cNvPr>
        <xdr:cNvSpPr>
          <a:spLocks noChangeArrowheads="1" noChangeShapeType="1" noTextEdit="1"/>
        </xdr:cNvSpPr>
      </xdr:nvSpPr>
      <xdr:spPr bwMode="auto">
        <a:xfrm>
          <a:off x="7312025" y="161925"/>
          <a:ext cx="7857" cy="0"/>
        </a:xfrm>
        <a:prstGeom prst="rect">
          <a:avLst/>
        </a:prstGeom>
        <a:extLst/>
      </xdr:spPr>
      <xdr:txBody>
        <a:bodyPr vertOverflow="clip" wrap="none" lIns="91440" tIns="45720" rIns="91440" bIns="45720" fromWordArt="1" anchor="t">
          <a:prstTxWarp prst="textPlain">
            <a:avLst>
              <a:gd name="adj" fmla="val 50000"/>
            </a:avLst>
          </a:prstTxWarp>
        </a:bodyPr>
        <a:lstStyle/>
        <a:p>
          <a:pPr algn="ctr" rtl="0">
            <a:defRPr sz="1000"/>
          </a:pPr>
          <a:r>
            <a:rPr lang="en-US" sz="1000" b="0" i="0" u="sng" strike="sngStrike">
              <a:solidFill>
                <a:srgbClr val="000000"/>
              </a:solidFill>
              <a:latin typeface="Arial Black"/>
              <a:ea typeface="Arial Black"/>
              <a:cs typeface="Arial Black"/>
            </a:rPr>
            <a:t>Directory</a:t>
          </a:r>
        </a:p>
      </xdr:txBody>
    </xdr:sp>
    <xdr:clientData/>
  </xdr:twoCellAnchor>
  <xdr:twoCellAnchor>
    <xdr:from>
      <xdr:col>11</xdr:col>
      <xdr:colOff>3321977</xdr:colOff>
      <xdr:row>40</xdr:row>
      <xdr:rowOff>286832</xdr:rowOff>
    </xdr:from>
    <xdr:to>
      <xdr:col>12</xdr:col>
      <xdr:colOff>272193</xdr:colOff>
      <xdr:row>40</xdr:row>
      <xdr:rowOff>286832</xdr:rowOff>
    </xdr:to>
    <xdr:cxnSp macro="">
      <xdr:nvCxnSpPr>
        <xdr:cNvPr id="4" name="Connecteur droit avec flèche 5"/>
        <xdr:cNvCxnSpPr/>
      </xdr:nvCxnSpPr>
      <xdr:spPr>
        <a:xfrm>
          <a:off x="7312952" y="6640007"/>
          <a:ext cx="274441"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3683000</xdr:colOff>
      <xdr:row>0</xdr:row>
      <xdr:rowOff>1132417</xdr:rowOff>
    </xdr:from>
    <xdr:to>
      <xdr:col>11</xdr:col>
      <xdr:colOff>4318000</xdr:colOff>
      <xdr:row>0</xdr:row>
      <xdr:rowOff>1354666</xdr:rowOff>
    </xdr:to>
    <xdr:sp macro="" textlink="">
      <xdr:nvSpPr>
        <xdr:cNvPr id="6" name="Прямоугольник 5">
          <a:hlinkClick xmlns:r="http://schemas.openxmlformats.org/officeDocument/2006/relationships" r:id="rId3"/>
        </xdr:cNvPr>
        <xdr:cNvSpPr/>
      </xdr:nvSpPr>
      <xdr:spPr>
        <a:xfrm>
          <a:off x="12043833" y="113241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11</xdr:col>
      <xdr:colOff>3005666</xdr:colOff>
      <xdr:row>0</xdr:row>
      <xdr:rowOff>1111250</xdr:rowOff>
    </xdr:from>
    <xdr:to>
      <xdr:col>11</xdr:col>
      <xdr:colOff>3524249</xdr:colOff>
      <xdr:row>0</xdr:row>
      <xdr:rowOff>1333500</xdr:rowOff>
    </xdr:to>
    <xdr:sp macro="" textlink="">
      <xdr:nvSpPr>
        <xdr:cNvPr id="7" name="Прямоугольник 6">
          <a:hlinkClick xmlns:r="http://schemas.openxmlformats.org/officeDocument/2006/relationships" r:id="rId4"/>
        </xdr:cNvPr>
        <xdr:cNvSpPr/>
      </xdr:nvSpPr>
      <xdr:spPr>
        <a:xfrm>
          <a:off x="11366499" y="111125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1</xdr:colOff>
      <xdr:row>0</xdr:row>
      <xdr:rowOff>9525</xdr:rowOff>
    </xdr:from>
    <xdr:to>
      <xdr:col>11</xdr:col>
      <xdr:colOff>5972176</xdr:colOff>
      <xdr:row>1</xdr:row>
      <xdr:rowOff>11293</xdr:rowOff>
    </xdr:to>
    <xdr:pic>
      <xdr:nvPicPr>
        <xdr:cNvPr id="8" name="Рисунок 7" descr="биогрейс титул.bmp"/>
        <xdr:cNvPicPr>
          <a:picLocks noChangeAspect="1"/>
        </xdr:cNvPicPr>
      </xdr:nvPicPr>
      <xdr:blipFill>
        <a:blip xmlns:r="http://schemas.openxmlformats.org/officeDocument/2006/relationships" r:embed="rId5"/>
        <a:stretch>
          <a:fillRect/>
        </a:stretch>
      </xdr:blipFill>
      <xdr:spPr>
        <a:xfrm>
          <a:off x="1" y="9525"/>
          <a:ext cx="14325600" cy="1392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6086475</xdr:colOff>
      <xdr:row>1</xdr:row>
      <xdr:rowOff>0</xdr:rowOff>
    </xdr:to>
    <xdr:pic>
      <xdr:nvPicPr>
        <xdr:cNvPr id="26099" name="Picture 1"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144625" cy="1304925"/>
        </a:xfrm>
        <a:prstGeom prst="rect">
          <a:avLst/>
        </a:prstGeom>
        <a:noFill/>
        <a:ln w="9525">
          <a:noFill/>
          <a:miter lim="800000"/>
          <a:headEnd/>
          <a:tailEnd/>
        </a:ln>
      </xdr:spPr>
    </xdr:pic>
    <xdr:clientData/>
  </xdr:twoCellAnchor>
  <xdr:twoCellAnchor>
    <xdr:from>
      <xdr:col>11</xdr:col>
      <xdr:colOff>3054350</xdr:colOff>
      <xdr:row>0</xdr:row>
      <xdr:rowOff>930275</xdr:rowOff>
    </xdr:from>
    <xdr:to>
      <xdr:col>11</xdr:col>
      <xdr:colOff>3775476</xdr:colOff>
      <xdr:row>0</xdr:row>
      <xdr:rowOff>1285875</xdr:rowOff>
    </xdr:to>
    <xdr:sp macro="" textlink="">
      <xdr:nvSpPr>
        <xdr:cNvPr id="26088" name="WordArt 2">
          <a:hlinkClick xmlns:r="http://schemas.openxmlformats.org/officeDocument/2006/relationships" r:id="rId2"/>
        </xdr:cNvPr>
        <xdr:cNvSpPr>
          <a:spLocks noChangeArrowheads="1" noChangeShapeType="1" noTextEdit="1"/>
        </xdr:cNvSpPr>
      </xdr:nvSpPr>
      <xdr:spPr bwMode="auto">
        <a:xfrm>
          <a:off x="12738100" y="939800"/>
          <a:ext cx="825500" cy="3556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4538663</xdr:colOff>
      <xdr:row>40</xdr:row>
      <xdr:rowOff>259557</xdr:rowOff>
    </xdr:from>
    <xdr:to>
      <xdr:col>12</xdr:col>
      <xdr:colOff>257245</xdr:colOff>
      <xdr:row>40</xdr:row>
      <xdr:rowOff>261147</xdr:rowOff>
    </xdr:to>
    <xdr:cxnSp macro="">
      <xdr:nvCxnSpPr>
        <xdr:cNvPr id="6" name="Connecteur droit avec flèche 5"/>
        <xdr:cNvCxnSpPr/>
      </xdr:nvCxnSpPr>
      <xdr:spPr>
        <a:xfrm>
          <a:off x="12561094" y="9358313"/>
          <a:ext cx="1821657" cy="159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742950</xdr:colOff>
      <xdr:row>20</xdr:row>
      <xdr:rowOff>200025</xdr:rowOff>
    </xdr:from>
    <xdr:to>
      <xdr:col>7</xdr:col>
      <xdr:colOff>219075</xdr:colOff>
      <xdr:row>22</xdr:row>
      <xdr:rowOff>9525</xdr:rowOff>
    </xdr:to>
    <xdr:pic>
      <xdr:nvPicPr>
        <xdr:cNvPr id="25827" name="ComboBox1"/>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3352800" y="5410200"/>
          <a:ext cx="2257425" cy="46672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11</xdr:col>
      <xdr:colOff>3030220</xdr:colOff>
      <xdr:row>0</xdr:row>
      <xdr:rowOff>922655</xdr:rowOff>
    </xdr:from>
    <xdr:to>
      <xdr:col>11</xdr:col>
      <xdr:colOff>3774118</xdr:colOff>
      <xdr:row>0</xdr:row>
      <xdr:rowOff>1278255</xdr:rowOff>
    </xdr:to>
    <xdr:sp macro="" textlink="">
      <xdr:nvSpPr>
        <xdr:cNvPr id="2" name="WordArt 2">
          <a:hlinkClick xmlns:r="http://schemas.openxmlformats.org/officeDocument/2006/relationships" r:id="rId1"/>
        </xdr:cNvPr>
        <xdr:cNvSpPr>
          <a:spLocks noChangeArrowheads="1" noChangeShapeType="1" noTextEdit="1"/>
        </xdr:cNvSpPr>
      </xdr:nvSpPr>
      <xdr:spPr bwMode="auto">
        <a:xfrm>
          <a:off x="7316470" y="160655"/>
          <a:ext cx="948" cy="31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3907155</xdr:colOff>
      <xdr:row>0</xdr:row>
      <xdr:rowOff>850900</xdr:rowOff>
    </xdr:from>
    <xdr:to>
      <xdr:col>11</xdr:col>
      <xdr:colOff>4816814</xdr:colOff>
      <xdr:row>0</xdr:row>
      <xdr:rowOff>1295400</xdr:rowOff>
    </xdr:to>
    <xdr:sp macro="" textlink="">
      <xdr:nvSpPr>
        <xdr:cNvPr id="3" name="WordArt 3">
          <a:hlinkClick xmlns:r="http://schemas.openxmlformats.org/officeDocument/2006/relationships" r:id="rId2"/>
        </xdr:cNvPr>
        <xdr:cNvSpPr>
          <a:spLocks noChangeArrowheads="1" noChangeShapeType="1" noTextEdit="1"/>
        </xdr:cNvSpPr>
      </xdr:nvSpPr>
      <xdr:spPr bwMode="auto">
        <a:xfrm>
          <a:off x="7317105"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11</xdr:col>
      <xdr:colOff>3511023</xdr:colOff>
      <xdr:row>0</xdr:row>
      <xdr:rowOff>1152263</xdr:rowOff>
    </xdr:from>
    <xdr:to>
      <xdr:col>11</xdr:col>
      <xdr:colOff>4146023</xdr:colOff>
      <xdr:row>0</xdr:row>
      <xdr:rowOff>1374512</xdr:rowOff>
    </xdr:to>
    <xdr:sp macro="" textlink="">
      <xdr:nvSpPr>
        <xdr:cNvPr id="5" name="Прямоугольник 4">
          <a:hlinkClick xmlns:r="http://schemas.openxmlformats.org/officeDocument/2006/relationships" r:id="rId3"/>
        </xdr:cNvPr>
        <xdr:cNvSpPr/>
      </xdr:nvSpPr>
      <xdr:spPr>
        <a:xfrm>
          <a:off x="11976367" y="1152263"/>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11</xdr:col>
      <xdr:colOff>2833689</xdr:colOff>
      <xdr:row>0</xdr:row>
      <xdr:rowOff>1131096</xdr:rowOff>
    </xdr:from>
    <xdr:to>
      <xdr:col>11</xdr:col>
      <xdr:colOff>3352272</xdr:colOff>
      <xdr:row>0</xdr:row>
      <xdr:rowOff>1353346</xdr:rowOff>
    </xdr:to>
    <xdr:sp macro="" textlink="">
      <xdr:nvSpPr>
        <xdr:cNvPr id="6" name="Прямоугольник 5">
          <a:hlinkClick xmlns:r="http://schemas.openxmlformats.org/officeDocument/2006/relationships" r:id="rId4"/>
        </xdr:cNvPr>
        <xdr:cNvSpPr/>
      </xdr:nvSpPr>
      <xdr:spPr>
        <a:xfrm>
          <a:off x="11299033" y="1131096"/>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0</xdr:colOff>
      <xdr:row>0</xdr:row>
      <xdr:rowOff>0</xdr:rowOff>
    </xdr:from>
    <xdr:to>
      <xdr:col>11</xdr:col>
      <xdr:colOff>5950324</xdr:colOff>
      <xdr:row>1</xdr:row>
      <xdr:rowOff>1050</xdr:rowOff>
    </xdr:to>
    <xdr:pic>
      <xdr:nvPicPr>
        <xdr:cNvPr id="7" name="Рисунок 6" descr="биогрейс титул.bmp"/>
        <xdr:cNvPicPr>
          <a:picLocks noChangeAspect="1"/>
        </xdr:cNvPicPr>
      </xdr:nvPicPr>
      <xdr:blipFill>
        <a:blip xmlns:r="http://schemas.openxmlformats.org/officeDocument/2006/relationships" r:embed="rId5"/>
        <a:stretch>
          <a:fillRect/>
        </a:stretch>
      </xdr:blipFill>
      <xdr:spPr>
        <a:xfrm>
          <a:off x="0" y="0"/>
          <a:ext cx="14421971" cy="14017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5991225</xdr:colOff>
      <xdr:row>1</xdr:row>
      <xdr:rowOff>0</xdr:rowOff>
    </xdr:to>
    <xdr:pic>
      <xdr:nvPicPr>
        <xdr:cNvPr id="38316" name="Picture 1" descr="Header_Calculator_300dpi_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154150" cy="1304925"/>
        </a:xfrm>
        <a:prstGeom prst="rect">
          <a:avLst/>
        </a:prstGeom>
        <a:noFill/>
        <a:ln w="9525">
          <a:noFill/>
          <a:miter lim="800000"/>
          <a:headEnd/>
          <a:tailEnd/>
        </a:ln>
      </xdr:spPr>
    </xdr:pic>
    <xdr:clientData/>
  </xdr:twoCellAnchor>
  <xdr:twoCellAnchor>
    <xdr:from>
      <xdr:col>11</xdr:col>
      <xdr:colOff>2946400</xdr:colOff>
      <xdr:row>0</xdr:row>
      <xdr:rowOff>930275</xdr:rowOff>
    </xdr:from>
    <xdr:to>
      <xdr:col>11</xdr:col>
      <xdr:colOff>3667526</xdr:colOff>
      <xdr:row>0</xdr:row>
      <xdr:rowOff>1285875</xdr:rowOff>
    </xdr:to>
    <xdr:sp macro="" textlink="">
      <xdr:nvSpPr>
        <xdr:cNvPr id="38308" name="WordArt 2">
          <a:hlinkClick xmlns:r="http://schemas.openxmlformats.org/officeDocument/2006/relationships" r:id="rId2"/>
        </xdr:cNvPr>
        <xdr:cNvSpPr>
          <a:spLocks noChangeArrowheads="1" noChangeShapeType="1" noTextEdit="1"/>
        </xdr:cNvSpPr>
      </xdr:nvSpPr>
      <xdr:spPr bwMode="auto">
        <a:xfrm>
          <a:off x="12712700" y="939800"/>
          <a:ext cx="825500" cy="3556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3800475</xdr:colOff>
      <xdr:row>0</xdr:row>
      <xdr:rowOff>850900</xdr:rowOff>
    </xdr:from>
    <xdr:to>
      <xdr:col>11</xdr:col>
      <xdr:colOff>4679557</xdr:colOff>
      <xdr:row>0</xdr:row>
      <xdr:rowOff>1295400</xdr:rowOff>
    </xdr:to>
    <xdr:sp macro="" textlink="">
      <xdr:nvSpPr>
        <xdr:cNvPr id="38309" name="WordArt 3">
          <a:hlinkClick xmlns:r="http://schemas.openxmlformats.org/officeDocument/2006/relationships" r:id="rId3"/>
        </xdr:cNvPr>
        <xdr:cNvSpPr>
          <a:spLocks noChangeArrowheads="1" noChangeShapeType="1" noTextEdit="1"/>
        </xdr:cNvSpPr>
      </xdr:nvSpPr>
      <xdr:spPr bwMode="auto">
        <a:xfrm>
          <a:off x="13690600" y="850900"/>
          <a:ext cx="1003300" cy="44450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5556</xdr:colOff>
      <xdr:row>0</xdr:row>
      <xdr:rowOff>922655</xdr:rowOff>
    </xdr:from>
    <xdr:to>
      <xdr:col>13</xdr:col>
      <xdr:colOff>5556</xdr:colOff>
      <xdr:row>0</xdr:row>
      <xdr:rowOff>1278255</xdr:rowOff>
    </xdr:to>
    <xdr:sp macro="" textlink="">
      <xdr:nvSpPr>
        <xdr:cNvPr id="2" name="WordArt 9">
          <a:hlinkClick xmlns:r="http://schemas.openxmlformats.org/officeDocument/2006/relationships" r:id="rId1"/>
        </xdr:cNvPr>
        <xdr:cNvSpPr>
          <a:spLocks noChangeArrowheads="1" noChangeShapeType="1" noTextEdit="1"/>
        </xdr:cNvSpPr>
      </xdr:nvSpPr>
      <xdr:spPr bwMode="auto">
        <a:xfrm>
          <a:off x="9911556" y="160655"/>
          <a:ext cx="0" cy="31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13</xdr:col>
      <xdr:colOff>5556</xdr:colOff>
      <xdr:row>0</xdr:row>
      <xdr:rowOff>850900</xdr:rowOff>
    </xdr:from>
    <xdr:to>
      <xdr:col>13</xdr:col>
      <xdr:colOff>5556</xdr:colOff>
      <xdr:row>0</xdr:row>
      <xdr:rowOff>1295400</xdr:rowOff>
    </xdr:to>
    <xdr:sp macro="" textlink="">
      <xdr:nvSpPr>
        <xdr:cNvPr id="3" name="WordArt 10">
          <a:hlinkClick xmlns:r="http://schemas.openxmlformats.org/officeDocument/2006/relationships" r:id="rId2"/>
        </xdr:cNvPr>
        <xdr:cNvSpPr>
          <a:spLocks noChangeArrowheads="1" noChangeShapeType="1" noTextEdit="1"/>
        </xdr:cNvSpPr>
      </xdr:nvSpPr>
      <xdr:spPr bwMode="auto">
        <a:xfrm>
          <a:off x="9911556"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editAs="oneCell">
    <xdr:from>
      <xdr:col>28</xdr:col>
      <xdr:colOff>455984</xdr:colOff>
      <xdr:row>63</xdr:row>
      <xdr:rowOff>68580</xdr:rowOff>
    </xdr:from>
    <xdr:to>
      <xdr:col>32</xdr:col>
      <xdr:colOff>1459148</xdr:colOff>
      <xdr:row>67</xdr:row>
      <xdr:rowOff>212792</xdr:rowOff>
    </xdr:to>
    <xdr:pic>
      <xdr:nvPicPr>
        <xdr:cNvPr id="4" name="Picture 18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1791984" y="9298305"/>
          <a:ext cx="3355839" cy="7442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279400</xdr:colOff>
      <xdr:row>0</xdr:row>
      <xdr:rowOff>850900</xdr:rowOff>
    </xdr:from>
    <xdr:to>
      <xdr:col>10</xdr:col>
      <xdr:colOff>279400</xdr:colOff>
      <xdr:row>1</xdr:row>
      <xdr:rowOff>0</xdr:rowOff>
    </xdr:to>
    <xdr:sp macro="" textlink="">
      <xdr:nvSpPr>
        <xdr:cNvPr id="5" name="WordArt 3">
          <a:hlinkClick xmlns:r="http://schemas.openxmlformats.org/officeDocument/2006/relationships" r:id="rId4"/>
        </xdr:cNvPr>
        <xdr:cNvSpPr>
          <a:spLocks noChangeArrowheads="1" noChangeShapeType="1" noTextEdit="1"/>
        </xdr:cNvSpPr>
      </xdr:nvSpPr>
      <xdr:spPr bwMode="auto">
        <a:xfrm>
          <a:off x="7899400"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twoCellAnchor>
    <xdr:from>
      <xdr:col>11</xdr:col>
      <xdr:colOff>3030220</xdr:colOff>
      <xdr:row>0</xdr:row>
      <xdr:rowOff>922655</xdr:rowOff>
    </xdr:from>
    <xdr:to>
      <xdr:col>11</xdr:col>
      <xdr:colOff>3774118</xdr:colOff>
      <xdr:row>0</xdr:row>
      <xdr:rowOff>1278255</xdr:rowOff>
    </xdr:to>
    <xdr:sp macro="" textlink="">
      <xdr:nvSpPr>
        <xdr:cNvPr id="6" name="WordArt 2">
          <a:hlinkClick xmlns:r="http://schemas.openxmlformats.org/officeDocument/2006/relationships" r:id="rId5"/>
        </xdr:cNvPr>
        <xdr:cNvSpPr>
          <a:spLocks noChangeArrowheads="1" noChangeShapeType="1" noTextEdit="1"/>
        </xdr:cNvSpPr>
      </xdr:nvSpPr>
      <xdr:spPr bwMode="auto">
        <a:xfrm>
          <a:off x="9145270" y="160655"/>
          <a:ext cx="948" cy="3175"/>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About</a:t>
          </a:r>
        </a:p>
      </xdr:txBody>
    </xdr:sp>
    <xdr:clientData/>
  </xdr:twoCellAnchor>
  <xdr:twoCellAnchor>
    <xdr:from>
      <xdr:col>11</xdr:col>
      <xdr:colOff>3907155</xdr:colOff>
      <xdr:row>0</xdr:row>
      <xdr:rowOff>850900</xdr:rowOff>
    </xdr:from>
    <xdr:to>
      <xdr:col>11</xdr:col>
      <xdr:colOff>4816814</xdr:colOff>
      <xdr:row>0</xdr:row>
      <xdr:rowOff>1295400</xdr:rowOff>
    </xdr:to>
    <xdr:sp macro="" textlink="">
      <xdr:nvSpPr>
        <xdr:cNvPr id="7" name="WordArt 3">
          <a:hlinkClick xmlns:r="http://schemas.openxmlformats.org/officeDocument/2006/relationships" r:id="rId6"/>
        </xdr:cNvPr>
        <xdr:cNvSpPr>
          <a:spLocks noChangeArrowheads="1" noChangeShapeType="1" noTextEdit="1"/>
        </xdr:cNvSpPr>
      </xdr:nvSpPr>
      <xdr:spPr bwMode="auto">
        <a:xfrm>
          <a:off x="9145905" y="165100"/>
          <a:ext cx="0"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r>
            <a:rPr lang="en-US" sz="1000" kern="10" cap="small" spc="0">
              <a:ln w="9525">
                <a:noFill/>
                <a:round/>
                <a:headEnd/>
                <a:tailEnd/>
              </a:ln>
              <a:noFill/>
              <a:latin typeface="Arial Black"/>
              <a:ea typeface="Arial Black"/>
              <a:cs typeface="Arial Black"/>
            </a:rPr>
            <a:t>Directory</a:t>
          </a:r>
        </a:p>
      </xdr:txBody>
    </xdr:sp>
    <xdr:clientData/>
  </xdr:twoCellAnchor>
  <xdr:oneCellAnchor>
    <xdr:from>
      <xdr:col>28</xdr:col>
      <xdr:colOff>466117</xdr:colOff>
      <xdr:row>63</xdr:row>
      <xdr:rowOff>73608</xdr:rowOff>
    </xdr:from>
    <xdr:ext cx="4255851" cy="433042"/>
    <xdr:sp macro="" textlink="">
      <xdr:nvSpPr>
        <xdr:cNvPr id="9" name="TextBox 8"/>
        <xdr:cNvSpPr txBox="1"/>
      </xdr:nvSpPr>
      <xdr:spPr>
        <a:xfrm>
          <a:off x="21802117" y="9303333"/>
          <a:ext cx="4255851" cy="4330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u-RU" sz="1100" b="1" cap="all">
              <a:solidFill>
                <a:schemeClr val="tx1"/>
              </a:solidFill>
            </a:rPr>
            <a:t>Рівняння 11.6</a:t>
          </a:r>
          <a:br>
            <a:rPr lang="ru-RU" sz="1100" b="1" cap="all">
              <a:solidFill>
                <a:schemeClr val="tx1"/>
              </a:solidFill>
            </a:rPr>
          </a:br>
          <a:r>
            <a:rPr lang="en-US" sz="1100" b="1" cap="all">
              <a:solidFill>
                <a:schemeClr val="tx1"/>
              </a:solidFill>
            </a:rPr>
            <a:t>N </a:t>
          </a:r>
          <a:r>
            <a:rPr lang="uk-UA" sz="1100" b="1" cap="all">
              <a:solidFill>
                <a:schemeClr val="tx1"/>
              </a:solidFill>
            </a:rPr>
            <a:t>з</a:t>
          </a:r>
          <a:r>
            <a:rPr lang="uk-UA" sz="1100" b="1" cap="all" baseline="0">
              <a:solidFill>
                <a:schemeClr val="tx1"/>
              </a:solidFill>
            </a:rPr>
            <a:t> відходів культур та кормове</a:t>
          </a:r>
          <a:r>
            <a:rPr lang="en-US" sz="1100" b="1" cap="all" baseline="0">
              <a:solidFill>
                <a:schemeClr val="tx1"/>
              </a:solidFill>
            </a:rPr>
            <a:t>/</a:t>
          </a:r>
          <a:r>
            <a:rPr lang="uk-UA" sz="1100" b="1" cap="all" baseline="0">
              <a:solidFill>
                <a:schemeClr val="tx1"/>
              </a:solidFill>
            </a:rPr>
            <a:t>пасовищне оновлення (Метод.1)</a:t>
          </a:r>
          <a:endParaRPr lang="ru-RU" sz="1100" b="1" cap="all">
            <a:solidFill>
              <a:schemeClr val="tx1"/>
            </a:solidFill>
          </a:endParaRPr>
        </a:p>
      </xdr:txBody>
    </xdr:sp>
    <xdr:clientData/>
  </xdr:oneCellAnchor>
  <xdr:twoCellAnchor>
    <xdr:from>
      <xdr:col>17</xdr:col>
      <xdr:colOff>261882</xdr:colOff>
      <xdr:row>2</xdr:row>
      <xdr:rowOff>31302</xdr:rowOff>
    </xdr:from>
    <xdr:to>
      <xdr:col>17</xdr:col>
      <xdr:colOff>896882</xdr:colOff>
      <xdr:row>2</xdr:row>
      <xdr:rowOff>253551</xdr:rowOff>
    </xdr:to>
    <xdr:sp macro="" textlink="">
      <xdr:nvSpPr>
        <xdr:cNvPr id="10" name="Прямоугольник 9">
          <a:hlinkClick xmlns:r="http://schemas.openxmlformats.org/officeDocument/2006/relationships" r:id="rId7"/>
        </xdr:cNvPr>
        <xdr:cNvSpPr/>
      </xdr:nvSpPr>
      <xdr:spPr>
        <a:xfrm>
          <a:off x="19463877" y="1591781"/>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16</xdr:col>
      <xdr:colOff>638378</xdr:colOff>
      <xdr:row>2</xdr:row>
      <xdr:rowOff>10135</xdr:rowOff>
    </xdr:from>
    <xdr:to>
      <xdr:col>17</xdr:col>
      <xdr:colOff>103131</xdr:colOff>
      <xdr:row>2</xdr:row>
      <xdr:rowOff>232385</xdr:rowOff>
    </xdr:to>
    <xdr:sp macro="" textlink="">
      <xdr:nvSpPr>
        <xdr:cNvPr id="11" name="Прямоугольник 10">
          <a:hlinkClick xmlns:r="http://schemas.openxmlformats.org/officeDocument/2006/relationships" r:id="rId8"/>
        </xdr:cNvPr>
        <xdr:cNvSpPr/>
      </xdr:nvSpPr>
      <xdr:spPr>
        <a:xfrm>
          <a:off x="18786543" y="1570614"/>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7</xdr:col>
      <xdr:colOff>120020</xdr:colOff>
      <xdr:row>0</xdr:row>
      <xdr:rowOff>973667</xdr:rowOff>
    </xdr:from>
    <xdr:to>
      <xdr:col>7</xdr:col>
      <xdr:colOff>755020</xdr:colOff>
      <xdr:row>1</xdr:row>
      <xdr:rowOff>20490</xdr:rowOff>
    </xdr:to>
    <xdr:sp macro="" textlink="">
      <xdr:nvSpPr>
        <xdr:cNvPr id="14" name="Прямоугольник 13">
          <a:hlinkClick xmlns:r="http://schemas.openxmlformats.org/officeDocument/2006/relationships" r:id="rId9"/>
        </xdr:cNvPr>
        <xdr:cNvSpPr/>
      </xdr:nvSpPr>
      <xdr:spPr>
        <a:xfrm>
          <a:off x="9817281" y="973667"/>
          <a:ext cx="635000" cy="2222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xdr:from>
      <xdr:col>6</xdr:col>
      <xdr:colOff>668777</xdr:colOff>
      <xdr:row>0</xdr:row>
      <xdr:rowOff>952500</xdr:rowOff>
    </xdr:from>
    <xdr:to>
      <xdr:col>6</xdr:col>
      <xdr:colOff>1187360</xdr:colOff>
      <xdr:row>0</xdr:row>
      <xdr:rowOff>1174750</xdr:rowOff>
    </xdr:to>
    <xdr:sp macro="" textlink="">
      <xdr:nvSpPr>
        <xdr:cNvPr id="15" name="Прямоугольник 14">
          <a:hlinkClick xmlns:r="http://schemas.openxmlformats.org/officeDocument/2006/relationships" r:id="rId10"/>
        </xdr:cNvPr>
        <xdr:cNvSpPr/>
      </xdr:nvSpPr>
      <xdr:spPr>
        <a:xfrm>
          <a:off x="9139947" y="952500"/>
          <a:ext cx="51858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ru-RU" sz="1100"/>
        </a:p>
      </xdr:txBody>
    </xdr:sp>
    <xdr:clientData/>
  </xdr:twoCellAnchor>
  <xdr:twoCellAnchor editAs="oneCell">
    <xdr:from>
      <xdr:col>0</xdr:col>
      <xdr:colOff>0</xdr:colOff>
      <xdr:row>0</xdr:row>
      <xdr:rowOff>0</xdr:rowOff>
    </xdr:from>
    <xdr:to>
      <xdr:col>7</xdr:col>
      <xdr:colOff>736226</xdr:colOff>
      <xdr:row>0</xdr:row>
      <xdr:rowOff>1124858</xdr:rowOff>
    </xdr:to>
    <xdr:pic>
      <xdr:nvPicPr>
        <xdr:cNvPr id="16" name="Рисунок 15" descr="биогрейс титул.bmp"/>
        <xdr:cNvPicPr>
          <a:picLocks noChangeAspect="1"/>
        </xdr:cNvPicPr>
      </xdr:nvPicPr>
      <xdr:blipFill>
        <a:blip xmlns:r="http://schemas.openxmlformats.org/officeDocument/2006/relationships" r:embed="rId11"/>
        <a:stretch>
          <a:fillRect/>
        </a:stretch>
      </xdr:blipFill>
      <xdr:spPr>
        <a:xfrm>
          <a:off x="0" y="0"/>
          <a:ext cx="11572874" cy="1124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TEMP/c/Biofuels%20GHG%20calculator%20-%20version%203_0_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c/Biofuels%20GHG%20calculator%20-%20version%203_0_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Documents%20and%20Settings/User/Application%20Data/Microsoft/Excel/&#1050;&#1086;&#1087;&#1080;&#1103;%20ATH_9_Practical_calculation_examples-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Workshop%20Utrech%20presentaciones/UTR_11_Practical_calculation_exampl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Documents%20and%20Settings/User/Application%20Data/Microsoft/Excel/&#1050;&#1086;&#1087;&#1080;&#1103;%20ATH_9_Practical_&#1087;&#1077;&#1088;&#1077;&#1074;&#1086;&#1076;%20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7zO1F.tmp\BioGrace-I%20Excel%20tool%20-%20version%204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pmerkingen bij versie"/>
      <sheetName val="Program definitions"/>
      <sheetName val="Results"/>
      <sheetName val="Results2"/>
      <sheetName val="Tabellen LUC"/>
      <sheetName val="LUC"/>
      <sheetName val="Input"/>
      <sheetName val="Calculations"/>
      <sheetName val="Conversion factors"/>
      <sheetName val="Energy use and GHG emission"/>
      <sheetName val="Fossil references"/>
      <sheetName val="Comparison Graphs"/>
      <sheetName val="C"/>
      <sheetName val="Chains"/>
      <sheetName val="Ethanol-Sugar beet"/>
      <sheetName val="Ethanol-Wheat-n.s."/>
      <sheetName val="Ethanol-Wheat-Lignite_CHP"/>
      <sheetName val="Ethanol-Wheat-NG_boiler"/>
      <sheetName val="Ethanol-Wheat-NG_CHP"/>
      <sheetName val="Ethanol-Wheat-Straw_CHP"/>
      <sheetName val="Ethanol-Corn-NG_CHP"/>
      <sheetName val="Ethanol-Sugar cane"/>
      <sheetName val="Biodiesel-Rapeseed"/>
      <sheetName val="Biodiesel-Sunflower"/>
      <sheetName val="Biodiesel-Soybean"/>
      <sheetName val="Biodiesel-Palmoil-n.s."/>
      <sheetName val="Biodiesel-Palmoil-CH4_capt"/>
      <sheetName val="Biodiesel-Wasteoil"/>
      <sheetName val="HVO-Rapeseed"/>
      <sheetName val="HVO-Sunflower"/>
      <sheetName val="HVO-Palmoil-n.s."/>
      <sheetName val="HVO-Palmoil-CH4_capt"/>
      <sheetName val="PureVegOil-Rapeseed"/>
      <sheetName val="Biogas (CNG)-MOW"/>
      <sheetName val="Biogas (CNG)-Wet_manure"/>
      <sheetName val="Biogas (CNG)-Dry_man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H11" t="str">
            <v>Suger beet</v>
          </cell>
        </row>
        <row r="12">
          <cell r="H12" t="str">
            <v>Wheat</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pmerkingen bij versie"/>
      <sheetName val="Program definitions"/>
      <sheetName val="Results"/>
      <sheetName val="Results2"/>
      <sheetName val="Tabellen LUC"/>
      <sheetName val="LUC"/>
      <sheetName val="Input"/>
      <sheetName val="Calculations"/>
      <sheetName val="Conversion factors"/>
      <sheetName val="Energy use and GHG emission"/>
      <sheetName val="Fossil references"/>
      <sheetName val="Comparison Graphs"/>
      <sheetName val="C"/>
      <sheetName val="Chains"/>
      <sheetName val="Ethanol-Sugar beet"/>
      <sheetName val="Ethanol-Wheat-n.s."/>
      <sheetName val="Ethanol-Wheat-Lignite_CHP"/>
      <sheetName val="Ethanol-Wheat-NG_boiler"/>
      <sheetName val="Ethanol-Wheat-NG_CHP"/>
      <sheetName val="Ethanol-Wheat-Straw_CHP"/>
      <sheetName val="Ethanol-Corn-NG_CHP"/>
      <sheetName val="Ethanol-Sugar cane"/>
      <sheetName val="Biodiesel-Rapeseed"/>
      <sheetName val="Biodiesel-Sunflower"/>
      <sheetName val="Biodiesel-Soybean"/>
      <sheetName val="Biodiesel-Palmoil-n.s."/>
      <sheetName val="Biodiesel-Palmoil-CH4_capt"/>
      <sheetName val="Biodiesel-Wasteoil"/>
      <sheetName val="HVO-Rapeseed"/>
      <sheetName val="HVO-Sunflower"/>
      <sheetName val="HVO-Palmoil-n.s."/>
      <sheetName val="HVO-Palmoil-CH4_capt"/>
      <sheetName val="PureVegOil-Rapeseed"/>
      <sheetName val="Biogas (CNG)-MOW"/>
      <sheetName val="Biogas (CNG)-Wet_manure"/>
      <sheetName val="Biogas (CNG)-Dry_man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H11" t="str">
            <v>Suger beet</v>
          </cell>
        </row>
        <row r="12">
          <cell r="H12" t="str">
            <v>Wheat</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bout"/>
      <sheetName val="Directory"/>
      <sheetName val="LUC"/>
      <sheetName val="Esca"/>
      <sheetName val="N2O emissions IPCC "/>
      <sheetName val="N2O emissions example1"/>
      <sheetName val="Example 3"/>
      <sheetName val="CNG-Sb"/>
      <sheetName val="Example 1"/>
      <sheetName val="E-Wt (example 1)"/>
      <sheetName val="E-Wt (Lign-chp)"/>
      <sheetName val="E-Wt (NG-b)"/>
      <sheetName val="E-Wt (NG-chp)"/>
      <sheetName val="E-Wt (Str-chp)"/>
      <sheetName val="E-Sc"/>
      <sheetName val="F-Sf"/>
      <sheetName val="F-Sy"/>
      <sheetName val="F-Po"/>
      <sheetName val="F-Po (CH4 capt)"/>
      <sheetName val="F-Wo"/>
      <sheetName val="H-Rs"/>
      <sheetName val="Example 2"/>
      <sheetName val="H-Rs calculated"/>
      <sheetName val="H-Sf"/>
      <sheetName val="H-Po"/>
      <sheetName val="H-Po (CH4 capt)"/>
      <sheetName val="P-Rs"/>
      <sheetName val="CNG-OW"/>
      <sheetName val="CNG-wM"/>
      <sheetName val="CNG-dM"/>
      <sheetName val="User defined standard values"/>
      <sheetName val="Standard values"/>
    </sheetNames>
    <sheetDataSet>
      <sheetData sheetId="0">
        <row r="2">
          <cell r="D2" t="str">
            <v>Version 4 - Public</v>
          </cell>
        </row>
        <row r="79">
          <cell r="B79">
            <v>1</v>
          </cell>
        </row>
      </sheetData>
      <sheetData sheetId="1"/>
      <sheetData sheetId="2">
        <row r="35">
          <cell r="D35" t="str">
            <v>Warm temperature moist</v>
          </cell>
          <cell r="H35" t="str">
            <v>Warm temperature moist</v>
          </cell>
        </row>
        <row r="36">
          <cell r="D36" t="str">
            <v>Cultivated/cropland</v>
          </cell>
          <cell r="H36" t="str">
            <v>Native forest (&gt;30% canopy cover)</v>
          </cell>
        </row>
        <row r="39">
          <cell r="D39" t="str">
            <v>-</v>
          </cell>
          <cell r="H39" t="str">
            <v>Oceanic forest</v>
          </cell>
        </row>
        <row r="40">
          <cell r="D40" t="str">
            <v>-</v>
          </cell>
          <cell r="H40" t="str">
            <v>Europe</v>
          </cell>
        </row>
        <row r="45">
          <cell r="D45" t="str">
            <v>High activity clay</v>
          </cell>
          <cell r="H45" t="str">
            <v>High activity clay</v>
          </cell>
        </row>
        <row r="46">
          <cell r="D46" t="str">
            <v>Full-tillage</v>
          </cell>
          <cell r="H46" t="str">
            <v>No till</v>
          </cell>
        </row>
        <row r="47">
          <cell r="D47" t="str">
            <v>High without manure</v>
          </cell>
          <cell r="H47" t="str">
            <v>No input</v>
          </cell>
        </row>
        <row r="82">
          <cell r="J82">
            <v>19.162866560000001</v>
          </cell>
        </row>
      </sheetData>
      <sheetData sheetId="3">
        <row r="42">
          <cell r="D42" t="str">
            <v>No-till</v>
          </cell>
          <cell r="H42" t="str">
            <v>Full-tillage</v>
          </cell>
        </row>
        <row r="43">
          <cell r="D43" t="str">
            <v>medium</v>
          </cell>
          <cell r="H43" t="str">
            <v>High without manure</v>
          </cell>
        </row>
        <row r="77">
          <cell r="J77">
            <v>0.44495615999999655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C10" t="str">
            <v>CO2</v>
          </cell>
          <cell r="D10">
            <v>1</v>
          </cell>
        </row>
        <row r="11">
          <cell r="C11" t="str">
            <v>CH4</v>
          </cell>
          <cell r="D11">
            <v>25</v>
          </cell>
        </row>
        <row r="12">
          <cell r="C12" t="str">
            <v>N2O</v>
          </cell>
          <cell r="D12">
            <v>298</v>
          </cell>
        </row>
        <row r="15">
          <cell r="C15" t="str">
            <v>N-fertiliser (kg N)</v>
          </cell>
          <cell r="E15">
            <v>2827.0048999999999</v>
          </cell>
          <cell r="F15">
            <v>8.6788000000000007</v>
          </cell>
          <cell r="G15">
            <v>9.6417999999999999</v>
          </cell>
          <cell r="H15">
            <v>5917.2312999999995</v>
          </cell>
          <cell r="M15">
            <v>48.990600000000001</v>
          </cell>
        </row>
        <row r="16">
          <cell r="C16" t="str">
            <v>P2O5-fertiliser (kg P2O5)</v>
          </cell>
          <cell r="E16">
            <v>964.88649999999996</v>
          </cell>
          <cell r="F16">
            <v>1.331</v>
          </cell>
          <cell r="G16">
            <v>5.1499999999999997E-2</v>
          </cell>
          <cell r="H16">
            <v>1013.5084999999999</v>
          </cell>
          <cell r="M16">
            <v>15.2334</v>
          </cell>
        </row>
        <row r="17">
          <cell r="C17" t="str">
            <v>K2O-fertiliser (kg K2O)</v>
          </cell>
          <cell r="E17">
            <v>536.31089999999995</v>
          </cell>
          <cell r="F17">
            <v>1.5709</v>
          </cell>
          <cell r="G17">
            <v>1.23E-2</v>
          </cell>
          <cell r="H17">
            <v>579.24879999999996</v>
          </cell>
          <cell r="M17">
            <v>9.67896</v>
          </cell>
        </row>
        <row r="18">
          <cell r="C18" t="str">
            <v>CaO-fertiliser (kg CaO)</v>
          </cell>
          <cell r="E18">
            <v>119.116</v>
          </cell>
          <cell r="F18">
            <v>0.21590000000000001</v>
          </cell>
          <cell r="G18">
            <v>1.83E-2</v>
          </cell>
          <cell r="H18">
            <v>129.96689999999998</v>
          </cell>
          <cell r="M18">
            <v>1.9735200000000002</v>
          </cell>
        </row>
        <row r="19">
          <cell r="C19" t="str">
            <v>Pesticides</v>
          </cell>
          <cell r="E19">
            <v>9886.5020000000004</v>
          </cell>
          <cell r="F19">
            <v>25.527100000000001</v>
          </cell>
          <cell r="G19">
            <v>1.6814</v>
          </cell>
          <cell r="H19">
            <v>11025.736699999999</v>
          </cell>
          <cell r="M19">
            <v>268.39980000000003</v>
          </cell>
        </row>
        <row r="20">
          <cell r="C20" t="str">
            <v>Seeds- corn</v>
          </cell>
          <cell r="E20">
            <v>0</v>
          </cell>
          <cell r="F20">
            <v>0</v>
          </cell>
          <cell r="G20">
            <v>0</v>
          </cell>
          <cell r="H20">
            <v>0</v>
          </cell>
          <cell r="M20">
            <v>0</v>
          </cell>
        </row>
        <row r="21">
          <cell r="C21" t="str">
            <v>Seeds- rapeseed</v>
          </cell>
          <cell r="E21">
            <v>412.08109999999999</v>
          </cell>
          <cell r="F21">
            <v>0.91269999999999996</v>
          </cell>
          <cell r="G21">
            <v>1.0027999999999999</v>
          </cell>
          <cell r="H21">
            <v>733.73299999999995</v>
          </cell>
          <cell r="M21">
            <v>7.86564</v>
          </cell>
        </row>
        <row r="22">
          <cell r="C22" t="str">
            <v>Seeds- soy bean</v>
          </cell>
          <cell r="E22">
            <v>0</v>
          </cell>
          <cell r="F22">
            <v>0</v>
          </cell>
          <cell r="G22">
            <v>0</v>
          </cell>
          <cell r="H22">
            <v>0</v>
          </cell>
          <cell r="M22">
            <v>0</v>
          </cell>
        </row>
        <row r="23">
          <cell r="C23" t="str">
            <v>Seeds- sugarbeet</v>
          </cell>
          <cell r="E23">
            <v>2187.7141000000001</v>
          </cell>
          <cell r="F23">
            <v>4.6003999999999996</v>
          </cell>
          <cell r="G23">
            <v>4.2119999999999997</v>
          </cell>
          <cell r="H23">
            <v>3557.9001000000003</v>
          </cell>
          <cell r="M23">
            <v>36.294119999999999</v>
          </cell>
        </row>
        <row r="24">
          <cell r="C24" t="str">
            <v>Seeds- sugarcane</v>
          </cell>
          <cell r="E24">
            <v>1.6397999999999999</v>
          </cell>
          <cell r="F24">
            <v>1E-4</v>
          </cell>
          <cell r="G24">
            <v>0</v>
          </cell>
          <cell r="H24">
            <v>1.6422999999999999</v>
          </cell>
          <cell r="M24">
            <v>2.1600000000000001E-2</v>
          </cell>
        </row>
        <row r="25">
          <cell r="C25" t="str">
            <v>Seeds- sunflower</v>
          </cell>
          <cell r="E25">
            <v>412.08109999999999</v>
          </cell>
          <cell r="F25">
            <v>0.91269999999999996</v>
          </cell>
          <cell r="G25">
            <v>1.0027999999999999</v>
          </cell>
          <cell r="H25">
            <v>733.73299999999995</v>
          </cell>
          <cell r="M25">
            <v>7.86564</v>
          </cell>
        </row>
        <row r="26">
          <cell r="C26" t="str">
            <v>Seeds- wheat</v>
          </cell>
          <cell r="E26">
            <v>151.0557</v>
          </cell>
          <cell r="F26">
            <v>0.27710000000000001</v>
          </cell>
          <cell r="G26">
            <v>0.40029999999999999</v>
          </cell>
          <cell r="H26">
            <v>277.27260000000001</v>
          </cell>
          <cell r="M26">
            <v>2.6074799999999998</v>
          </cell>
        </row>
        <row r="29">
          <cell r="C29" t="str">
            <v>EFB compost (palm oil)</v>
          </cell>
          <cell r="E29">
            <v>0</v>
          </cell>
          <cell r="F29">
            <v>0</v>
          </cell>
          <cell r="G29">
            <v>0</v>
          </cell>
          <cell r="H29">
            <v>0</v>
          </cell>
          <cell r="M29">
            <v>0</v>
          </cell>
        </row>
        <row r="30">
          <cell r="C30" t="str">
            <v>Filter mud cake</v>
          </cell>
          <cell r="E30">
            <v>0</v>
          </cell>
          <cell r="F30">
            <v>0</v>
          </cell>
          <cell r="G30">
            <v>0</v>
          </cell>
          <cell r="H30">
            <v>0</v>
          </cell>
          <cell r="M30">
            <v>0</v>
          </cell>
        </row>
        <row r="31">
          <cell r="C31" t="str">
            <v>Manure</v>
          </cell>
          <cell r="E31">
            <v>0</v>
          </cell>
          <cell r="F31">
            <v>0</v>
          </cell>
          <cell r="G31">
            <v>0</v>
          </cell>
          <cell r="H31">
            <v>0</v>
          </cell>
          <cell r="M31">
            <v>0</v>
          </cell>
          <cell r="P31">
            <v>10</v>
          </cell>
        </row>
        <row r="32">
          <cell r="C32" t="str">
            <v>Vinasse</v>
          </cell>
          <cell r="E32">
            <v>0</v>
          </cell>
          <cell r="F32">
            <v>0</v>
          </cell>
          <cell r="G32">
            <v>0</v>
          </cell>
          <cell r="H32">
            <v>0</v>
          </cell>
          <cell r="M32">
            <v>0</v>
          </cell>
        </row>
        <row r="35">
          <cell r="C35" t="str">
            <v>Natural gas (4000 km, Russian NG quality)</v>
          </cell>
          <cell r="I35">
            <v>61.575111111111113</v>
          </cell>
          <cell r="J35">
            <v>0.19813888888888889</v>
          </cell>
          <cell r="K35">
            <v>2.2222222222222223E-4</v>
          </cell>
          <cell r="L35">
            <v>66.594805555555553</v>
          </cell>
          <cell r="N35">
            <v>1.1281000000000001</v>
          </cell>
        </row>
        <row r="36">
          <cell r="C36" t="str">
            <v>Natural gas (4000 km, EU Mix qualilty)</v>
          </cell>
          <cell r="I36">
            <v>62.963999999999999</v>
          </cell>
          <cell r="J36">
            <v>0.19813888888888889</v>
          </cell>
          <cell r="K36">
            <v>2.2222222222222223E-4</v>
          </cell>
          <cell r="L36">
            <v>67.983694444444438</v>
          </cell>
          <cell r="N36">
            <v>1.1281000000000001</v>
          </cell>
        </row>
        <row r="37">
          <cell r="C37" t="str">
            <v>Methane</v>
          </cell>
          <cell r="P37">
            <v>50</v>
          </cell>
        </row>
        <row r="40">
          <cell r="C40" t="str">
            <v>Diesel</v>
          </cell>
          <cell r="I40">
            <v>87.638888888888886</v>
          </cell>
          <cell r="J40">
            <v>0</v>
          </cell>
          <cell r="K40">
            <v>0</v>
          </cell>
          <cell r="L40">
            <v>87.638888888888886</v>
          </cell>
          <cell r="N40">
            <v>1.1599999999999999</v>
          </cell>
          <cell r="O40">
            <v>832</v>
          </cell>
          <cell r="P40">
            <v>43.1</v>
          </cell>
        </row>
        <row r="41">
          <cell r="C41" t="str">
            <v>Gasoline</v>
          </cell>
          <cell r="O41">
            <v>745</v>
          </cell>
          <cell r="P41">
            <v>43.2</v>
          </cell>
        </row>
        <row r="42">
          <cell r="C42" t="str">
            <v>HFO</v>
          </cell>
          <cell r="I42">
            <v>84.977777777777774</v>
          </cell>
          <cell r="J42">
            <v>0</v>
          </cell>
          <cell r="K42">
            <v>0</v>
          </cell>
          <cell r="L42">
            <v>84.977777777777774</v>
          </cell>
          <cell r="N42">
            <v>1.0880000000000001</v>
          </cell>
          <cell r="O42">
            <v>970</v>
          </cell>
          <cell r="P42">
            <v>40.5</v>
          </cell>
        </row>
        <row r="43">
          <cell r="C43" t="str">
            <v>HFO for maritime transport</v>
          </cell>
          <cell r="I43">
            <v>87.2</v>
          </cell>
          <cell r="J43">
            <v>0</v>
          </cell>
          <cell r="K43">
            <v>0</v>
          </cell>
          <cell r="L43">
            <v>87.2</v>
          </cell>
          <cell r="N43">
            <v>1.0880000000000001</v>
          </cell>
          <cell r="O43">
            <v>970</v>
          </cell>
          <cell r="P43">
            <v>40.5</v>
          </cell>
        </row>
        <row r="44">
          <cell r="C44" t="str">
            <v>Ethanol</v>
          </cell>
          <cell r="O44">
            <v>794</v>
          </cell>
          <cell r="P44">
            <v>26.81</v>
          </cell>
        </row>
        <row r="45">
          <cell r="C45" t="str">
            <v>Methanol</v>
          </cell>
          <cell r="I45">
            <v>92.797444444444452</v>
          </cell>
          <cell r="J45">
            <v>0.29002777777777777</v>
          </cell>
          <cell r="K45">
            <v>3.3333333333333332E-4</v>
          </cell>
          <cell r="L45">
            <v>100.14747222222223</v>
          </cell>
          <cell r="N45">
            <v>1.6594</v>
          </cell>
          <cell r="O45">
            <v>793</v>
          </cell>
          <cell r="P45">
            <v>19.899999999999999</v>
          </cell>
        </row>
        <row r="46">
          <cell r="C46" t="str">
            <v>FAME</v>
          </cell>
          <cell r="O46">
            <v>890</v>
          </cell>
          <cell r="P46">
            <v>37.200000000000003</v>
          </cell>
        </row>
        <row r="47">
          <cell r="C47" t="str">
            <v>Syn diesel (BtL)</v>
          </cell>
          <cell r="O47">
            <v>780</v>
          </cell>
          <cell r="P47">
            <v>44</v>
          </cell>
        </row>
        <row r="48">
          <cell r="C48" t="str">
            <v>HVO</v>
          </cell>
          <cell r="O48">
            <v>780</v>
          </cell>
          <cell r="P48">
            <v>44</v>
          </cell>
        </row>
        <row r="49">
          <cell r="C49" t="str">
            <v>PVO</v>
          </cell>
          <cell r="P49">
            <v>36</v>
          </cell>
        </row>
        <row r="52">
          <cell r="C52" t="str">
            <v>Hard coal</v>
          </cell>
          <cell r="I52">
            <v>102.38424999999999</v>
          </cell>
          <cell r="J52">
            <v>0.3835277777777778</v>
          </cell>
          <cell r="K52">
            <v>2.5000000000000001E-4</v>
          </cell>
          <cell r="L52">
            <v>112.04694444444443</v>
          </cell>
          <cell r="N52">
            <v>1.0885999999999998</v>
          </cell>
          <cell r="P52">
            <v>26.532</v>
          </cell>
        </row>
        <row r="53">
          <cell r="C53" t="str">
            <v>Lignite</v>
          </cell>
          <cell r="I53">
            <v>116.75711111111112</v>
          </cell>
          <cell r="J53">
            <v>9.0555555555555545E-3</v>
          </cell>
          <cell r="K53">
            <v>5.5555555555555558E-5</v>
          </cell>
          <cell r="L53">
            <v>117.00005555555556</v>
          </cell>
          <cell r="N53">
            <v>1.0155999999999998</v>
          </cell>
          <cell r="P53">
            <v>9.234</v>
          </cell>
        </row>
        <row r="54">
          <cell r="C54" t="str">
            <v>Corn</v>
          </cell>
          <cell r="P54">
            <v>18.5</v>
          </cell>
        </row>
        <row r="55">
          <cell r="C55" t="str">
            <v>FFB</v>
          </cell>
          <cell r="P55">
            <v>24</v>
          </cell>
        </row>
        <row r="56">
          <cell r="C56" t="str">
            <v>Rapeseed</v>
          </cell>
          <cell r="P56">
            <v>26.4</v>
          </cell>
        </row>
        <row r="57">
          <cell r="C57" t="str">
            <v>Soybeans</v>
          </cell>
          <cell r="P57">
            <v>23.529411764705884</v>
          </cell>
        </row>
        <row r="58">
          <cell r="C58" t="str">
            <v>Sugar beet</v>
          </cell>
          <cell r="P58">
            <v>16.3</v>
          </cell>
        </row>
        <row r="59">
          <cell r="C59" t="str">
            <v>Sugar cane</v>
          </cell>
          <cell r="P59">
            <v>19.600000000000001</v>
          </cell>
        </row>
        <row r="60">
          <cell r="C60" t="str">
            <v>Sunflowerseed</v>
          </cell>
          <cell r="P60">
            <v>26.4</v>
          </cell>
        </row>
        <row r="61">
          <cell r="C61" t="str">
            <v>Wheat</v>
          </cell>
          <cell r="P61">
            <v>17</v>
          </cell>
        </row>
        <row r="62">
          <cell r="C62" t="str">
            <v>Waste vegetable / animal oil</v>
          </cell>
          <cell r="P62">
            <v>37.1</v>
          </cell>
        </row>
        <row r="63">
          <cell r="C63" t="str">
            <v>BioOil (byproduct FAME from waste oil)</v>
          </cell>
          <cell r="P63">
            <v>21.8</v>
          </cell>
        </row>
        <row r="64">
          <cell r="C64" t="str">
            <v>Crude vegetable oil</v>
          </cell>
          <cell r="P64">
            <v>36</v>
          </cell>
        </row>
        <row r="65">
          <cell r="C65" t="str">
            <v>DDGS (10 wt% moisture)</v>
          </cell>
          <cell r="P65">
            <v>16</v>
          </cell>
        </row>
        <row r="66">
          <cell r="C66" t="str">
            <v>Glycerol</v>
          </cell>
          <cell r="P66">
            <v>16</v>
          </cell>
        </row>
        <row r="67">
          <cell r="C67" t="str">
            <v>Palm kernel meal</v>
          </cell>
          <cell r="P67">
            <v>17</v>
          </cell>
        </row>
        <row r="68">
          <cell r="C68" t="str">
            <v>Palm oil</v>
          </cell>
          <cell r="P68">
            <v>37</v>
          </cell>
        </row>
        <row r="69">
          <cell r="C69" t="str">
            <v>Rapeseed meal</v>
          </cell>
          <cell r="P69">
            <v>18.649999999999999</v>
          </cell>
        </row>
        <row r="70">
          <cell r="C70" t="str">
            <v>Soybean oil</v>
          </cell>
          <cell r="P70">
            <v>36.6</v>
          </cell>
        </row>
        <row r="71">
          <cell r="C71" t="str">
            <v>Soy bean meal</v>
          </cell>
          <cell r="P71" t="str">
            <v>-</v>
          </cell>
        </row>
        <row r="72">
          <cell r="C72" t="str">
            <v>Sugar beet pulp</v>
          </cell>
          <cell r="P72">
            <v>15.6</v>
          </cell>
        </row>
        <row r="73">
          <cell r="C73" t="str">
            <v>Sugar beet slops</v>
          </cell>
          <cell r="P73">
            <v>15.6</v>
          </cell>
        </row>
        <row r="74">
          <cell r="C74" t="str">
            <v>Wheat straw</v>
          </cell>
          <cell r="I74">
            <v>1.7515833333333333</v>
          </cell>
          <cell r="J74">
            <v>1.3333333333333333E-3</v>
          </cell>
          <cell r="K74">
            <v>5.5555555555555558E-5</v>
          </cell>
          <cell r="L74">
            <v>1.8014722222222224</v>
          </cell>
          <cell r="N74">
            <v>2.5400000000000002E-2</v>
          </cell>
          <cell r="P74">
            <v>17.2</v>
          </cell>
        </row>
        <row r="77">
          <cell r="C77" t="str">
            <v>Electricity EU mix MV</v>
          </cell>
          <cell r="I77">
            <v>119.36216666666667</v>
          </cell>
          <cell r="J77">
            <v>0.29108333333333336</v>
          </cell>
          <cell r="K77">
            <v>5.3888888888888892E-3</v>
          </cell>
          <cell r="L77">
            <v>128.2451388888889</v>
          </cell>
          <cell r="N77">
            <v>2.6951000000000001</v>
          </cell>
        </row>
        <row r="78">
          <cell r="C78" t="str">
            <v>Electricity EU mix LV</v>
          </cell>
          <cell r="I78">
            <v>120.7945</v>
          </cell>
          <cell r="J78">
            <v>0.29458333333333331</v>
          </cell>
          <cell r="K78">
            <v>5.4722222222222221E-3</v>
          </cell>
          <cell r="L78">
            <v>129.78980555555557</v>
          </cell>
          <cell r="N78">
            <v>2.7275</v>
          </cell>
        </row>
        <row r="81">
          <cell r="C81" t="str">
            <v>n-Hexane</v>
          </cell>
          <cell r="I81">
            <v>80.083333333333329</v>
          </cell>
          <cell r="J81">
            <v>1.4555555555555556E-2</v>
          </cell>
          <cell r="K81">
            <v>2.7777777777777778E-4</v>
          </cell>
          <cell r="L81">
            <v>80.53</v>
          </cell>
          <cell r="N81">
            <v>0.32036111111111115</v>
          </cell>
          <cell r="P81">
            <v>45.107999999999997</v>
          </cell>
        </row>
        <row r="82">
          <cell r="C82" t="str">
            <v>Phosphoric acid (H3PO4)</v>
          </cell>
          <cell r="E82">
            <v>2776</v>
          </cell>
          <cell r="F82">
            <v>8.9268000000000001</v>
          </cell>
          <cell r="G82">
            <v>0.1028</v>
          </cell>
          <cell r="H82">
            <v>3029.8044</v>
          </cell>
          <cell r="M82">
            <v>28.570320000000002</v>
          </cell>
        </row>
        <row r="83">
          <cell r="C83" t="str">
            <v>Fuller's earth</v>
          </cell>
          <cell r="E83">
            <v>197</v>
          </cell>
          <cell r="F83">
            <v>3.73E-2</v>
          </cell>
          <cell r="G83">
            <v>6.3E-3</v>
          </cell>
          <cell r="H83">
            <v>199.8099</v>
          </cell>
          <cell r="M83">
            <v>2.5405200000000003</v>
          </cell>
        </row>
        <row r="84">
          <cell r="C84" t="str">
            <v>Hydrochloric acid (HCl)</v>
          </cell>
          <cell r="E84">
            <v>717.37800000000004</v>
          </cell>
          <cell r="F84">
            <v>1.129</v>
          </cell>
          <cell r="G84">
            <v>2.5399999999999999E-2</v>
          </cell>
          <cell r="H84">
            <v>753.17220000000009</v>
          </cell>
          <cell r="M84">
            <v>15.433495199999999</v>
          </cell>
        </row>
        <row r="85">
          <cell r="C85" t="str">
            <v>Sodium carbonate (Na2CO3)</v>
          </cell>
          <cell r="E85">
            <v>1046</v>
          </cell>
          <cell r="F85">
            <v>6.2</v>
          </cell>
          <cell r="G85">
            <v>5.4999999999999997E-3</v>
          </cell>
          <cell r="H85">
            <v>1202.6389999999999</v>
          </cell>
          <cell r="M85">
            <v>13.785480000000002</v>
          </cell>
        </row>
        <row r="86">
          <cell r="C86" t="str">
            <v>Sodium hydroxide (NaOH)</v>
          </cell>
          <cell r="E86">
            <v>438.4932</v>
          </cell>
          <cell r="F86">
            <v>1.0301</v>
          </cell>
          <cell r="G86">
            <v>2.4E-2</v>
          </cell>
          <cell r="H86">
            <v>471.39769999999999</v>
          </cell>
          <cell r="M86">
            <v>10.2204</v>
          </cell>
        </row>
        <row r="87">
          <cell r="C87" t="str">
            <v>Potassium hydroxide (KOH)</v>
          </cell>
          <cell r="E87">
            <v>0</v>
          </cell>
          <cell r="F87">
            <v>0</v>
          </cell>
          <cell r="G87">
            <v>0</v>
          </cell>
          <cell r="H87">
            <v>0</v>
          </cell>
          <cell r="M87">
            <v>0</v>
          </cell>
        </row>
        <row r="88">
          <cell r="C88" t="str">
            <v>Hydrogen (for HVO)</v>
          </cell>
          <cell r="I88">
            <v>80.868472222222223</v>
          </cell>
          <cell r="J88">
            <v>0.27647222222222223</v>
          </cell>
          <cell r="K88">
            <v>3.0555555555555555E-4</v>
          </cell>
          <cell r="L88">
            <v>87.87133333333334</v>
          </cell>
          <cell r="N88">
            <v>1.4835</v>
          </cell>
        </row>
        <row r="89">
          <cell r="C89" t="str">
            <v>Pure CaO for processes</v>
          </cell>
          <cell r="E89">
            <v>1013</v>
          </cell>
          <cell r="F89">
            <v>0.64900000000000002</v>
          </cell>
          <cell r="G89">
            <v>7.6E-3</v>
          </cell>
          <cell r="H89">
            <v>1031.4897999999998</v>
          </cell>
          <cell r="M89">
            <v>4.5979199999999993</v>
          </cell>
        </row>
        <row r="90">
          <cell r="C90" t="str">
            <v>Sulphuric acid (H2SO4)</v>
          </cell>
          <cell r="E90">
            <v>193.8502</v>
          </cell>
          <cell r="F90">
            <v>0.54569999999999996</v>
          </cell>
          <cell r="G90">
            <v>4.4999999999999997E-3</v>
          </cell>
          <cell r="H90">
            <v>208.83370000000002</v>
          </cell>
          <cell r="M90">
            <v>3.8959200000000003</v>
          </cell>
        </row>
        <row r="91">
          <cell r="C91" t="str">
            <v>Ammonia</v>
          </cell>
          <cell r="E91">
            <v>2478.0410000000002</v>
          </cell>
          <cell r="F91">
            <v>7.8360000000000003</v>
          </cell>
          <cell r="G91">
            <v>8.6999999999999994E-3</v>
          </cell>
          <cell r="H91">
            <v>2676.5336000000002</v>
          </cell>
          <cell r="M91">
            <v>44.388359999999999</v>
          </cell>
        </row>
        <row r="92">
          <cell r="C92" t="str">
            <v>Cycle-hexane</v>
          </cell>
          <cell r="E92">
            <v>723</v>
          </cell>
          <cell r="F92">
            <v>0</v>
          </cell>
          <cell r="G92">
            <v>0</v>
          </cell>
          <cell r="H92">
            <v>723</v>
          </cell>
          <cell r="M92">
            <v>53.1</v>
          </cell>
        </row>
        <row r="93">
          <cell r="C93" t="str">
            <v>Lubricants</v>
          </cell>
          <cell r="E93">
            <v>947</v>
          </cell>
          <cell r="F93">
            <v>0</v>
          </cell>
          <cell r="G93">
            <v>0</v>
          </cell>
          <cell r="H93">
            <v>947</v>
          </cell>
          <cell r="M93">
            <v>53.28</v>
          </cell>
        </row>
        <row r="96">
          <cell r="C96" t="str">
            <v>Truck for dry product (Diesel)</v>
          </cell>
          <cell r="Q96">
            <v>0.93600000000000005</v>
          </cell>
          <cell r="R96">
            <v>5.0000000000000001E-3</v>
          </cell>
          <cell r="S96">
            <v>0</v>
          </cell>
        </row>
        <row r="97">
          <cell r="C97" t="str">
            <v>Truck for liquids (Diesel)</v>
          </cell>
          <cell r="Q97">
            <v>1.008</v>
          </cell>
          <cell r="R97">
            <v>5.0000000000000001E-3</v>
          </cell>
          <cell r="S97">
            <v>0</v>
          </cell>
        </row>
        <row r="98">
          <cell r="C98" t="str">
            <v>Truck for FFB transport (Diesel)</v>
          </cell>
          <cell r="Q98">
            <v>2.0122857142857145</v>
          </cell>
          <cell r="R98">
            <v>5.0000000000000001E-3</v>
          </cell>
          <cell r="S98">
            <v>0</v>
          </cell>
        </row>
        <row r="99">
          <cell r="C99" t="str">
            <v>Tanker truck MB2218 for vinasse transport</v>
          </cell>
          <cell r="Q99">
            <v>2.16</v>
          </cell>
          <cell r="R99">
            <v>0</v>
          </cell>
          <cell r="S99">
            <v>0</v>
          </cell>
        </row>
        <row r="100">
          <cell r="C100" t="str">
            <v>Tanker truck with water cannons for vinasse transport</v>
          </cell>
          <cell r="Q100">
            <v>0.94</v>
          </cell>
          <cell r="R100">
            <v>0</v>
          </cell>
          <cell r="S100">
            <v>0</v>
          </cell>
        </row>
        <row r="101">
          <cell r="C101" t="str">
            <v>Dumpster truck MB2213 for filter mud transport</v>
          </cell>
          <cell r="Q101">
            <v>3.6</v>
          </cell>
          <cell r="R101">
            <v>0</v>
          </cell>
          <cell r="S101">
            <v>0</v>
          </cell>
        </row>
        <row r="102">
          <cell r="C102" t="str">
            <v>Ocean bulk carrier (Fuel oil)</v>
          </cell>
          <cell r="Q102">
            <v>0.20358000000000001</v>
          </cell>
          <cell r="R102">
            <v>2.9999999999999997E-4</v>
          </cell>
          <cell r="S102">
            <v>7.2000000000000005E-4</v>
          </cell>
        </row>
        <row r="103">
          <cell r="C103" t="str">
            <v>Ship /product tanker 50kt (Fuel oil)</v>
          </cell>
          <cell r="Q103">
            <v>0.12384000000000001</v>
          </cell>
          <cell r="R103">
            <v>0</v>
          </cell>
          <cell r="S103">
            <v>0</v>
          </cell>
        </row>
        <row r="104">
          <cell r="C104" t="str">
            <v>Local (10 km) pipeline</v>
          </cell>
          <cell r="Q104">
            <v>0</v>
          </cell>
          <cell r="R104">
            <v>0</v>
          </cell>
          <cell r="S104">
            <v>0</v>
          </cell>
        </row>
        <row r="105">
          <cell r="C105" t="str">
            <v>Rail (Electric, MV)</v>
          </cell>
          <cell r="Q105">
            <v>0.21</v>
          </cell>
          <cell r="R105">
            <v>0</v>
          </cell>
          <cell r="S105">
            <v>0</v>
          </cell>
        </row>
        <row r="108">
          <cell r="C108" t="str">
            <v>CH4 and N2O emissions from NG boiler</v>
          </cell>
          <cell r="J108">
            <v>2.7777777777777779E-3</v>
          </cell>
          <cell r="K108">
            <v>1.1111111111111111E-3</v>
          </cell>
          <cell r="L108">
            <v>0.40055555555555555</v>
          </cell>
        </row>
        <row r="109">
          <cell r="C109" t="str">
            <v>CH4 and N2O emissions from NG CHP</v>
          </cell>
          <cell r="J109">
            <v>0</v>
          </cell>
          <cell r="K109">
            <v>0</v>
          </cell>
          <cell r="L109">
            <v>0</v>
          </cell>
        </row>
        <row r="110">
          <cell r="C110" t="str">
            <v>CH4 and N2O emissions from Lignite CHP</v>
          </cell>
          <cell r="J110">
            <v>2.3055555555555555E-3</v>
          </cell>
          <cell r="K110">
            <v>1.2611111111111111E-2</v>
          </cell>
          <cell r="L110">
            <v>3.81575</v>
          </cell>
        </row>
        <row r="111">
          <cell r="C111" t="str">
            <v>CH4 and N2O emissions from Straw CHP</v>
          </cell>
          <cell r="J111">
            <v>0</v>
          </cell>
          <cell r="K111">
            <v>0</v>
          </cell>
          <cell r="L111">
            <v>0</v>
          </cell>
        </row>
        <row r="112">
          <cell r="C112" t="str">
            <v>CH4 and N2O emissions from NG gas engine</v>
          </cell>
          <cell r="J112">
            <v>5.333333333333333E-2</v>
          </cell>
          <cell r="K112">
            <v>0</v>
          </cell>
          <cell r="L112">
            <v>1.3333333333333333</v>
          </cell>
        </row>
        <row r="115">
          <cell r="C115" t="str">
            <v>Electricity (NG CCGT)</v>
          </cell>
          <cell r="I115">
            <v>114.48</v>
          </cell>
          <cell r="J115">
            <v>0.36788585858585859</v>
          </cell>
          <cell r="K115">
            <v>4.9845959595959596E-3</v>
          </cell>
          <cell r="L115">
            <v>125.16255606060606</v>
          </cell>
          <cell r="N115">
            <v>2.0510909090909091</v>
          </cell>
        </row>
        <row r="116">
          <cell r="C116" t="str">
            <v>Electricity (Lignite ST)</v>
          </cell>
          <cell r="I116">
            <v>284.77059400000002</v>
          </cell>
          <cell r="J116">
            <v>2.5857055555555553E-2</v>
          </cell>
          <cell r="K116">
            <v>7.7782777777777781E-3</v>
          </cell>
          <cell r="L116">
            <v>287.73494716666664</v>
          </cell>
          <cell r="N116">
            <v>2.4770483999999997</v>
          </cell>
        </row>
        <row r="117">
          <cell r="C117" t="str">
            <v>Electricity (Straw ST)</v>
          </cell>
          <cell r="I117">
            <v>5.5605764499999992</v>
          </cell>
          <cell r="J117">
            <v>4.2328000000000001E-3</v>
          </cell>
          <cell r="K117">
            <v>1.7636666666666668E-4</v>
          </cell>
          <cell r="L117">
            <v>5.7189537166666655</v>
          </cell>
          <cell r="N117">
            <v>8.0634839999999999E-2</v>
          </cell>
        </row>
        <row r="120">
          <cell r="C120" t="str">
            <v>Example 1 (diesel from standard values)</v>
          </cell>
          <cell r="E120" t="str">
            <v/>
          </cell>
          <cell r="F120" t="str">
            <v/>
          </cell>
          <cell r="G120" t="str">
            <v/>
          </cell>
          <cell r="H120">
            <v>0</v>
          </cell>
          <cell r="I120">
            <v>87.638888888888886</v>
          </cell>
          <cell r="J120">
            <v>0</v>
          </cell>
          <cell r="K120">
            <v>0</v>
          </cell>
          <cell r="L120">
            <v>87.638888888888886</v>
          </cell>
          <cell r="M120" t="str">
            <v/>
          </cell>
          <cell r="N120">
            <v>1.1575</v>
          </cell>
          <cell r="O120">
            <v>832</v>
          </cell>
          <cell r="P120">
            <v>43.1</v>
          </cell>
          <cell r="Q120" t="str">
            <v/>
          </cell>
          <cell r="R120" t="str">
            <v/>
          </cell>
          <cell r="S120" t="str">
            <v/>
          </cell>
        </row>
        <row r="121">
          <cell r="C121" t="str">
            <v>Example 2 (methanol from standard values)</v>
          </cell>
          <cell r="E121" t="str">
            <v/>
          </cell>
          <cell r="F121" t="str">
            <v/>
          </cell>
          <cell r="G121" t="str">
            <v/>
          </cell>
          <cell r="H121">
            <v>0</v>
          </cell>
          <cell r="I121">
            <v>92.797444444444452</v>
          </cell>
          <cell r="J121">
            <v>0.29002777777777777</v>
          </cell>
          <cell r="K121">
            <v>3.3333333333333332E-4</v>
          </cell>
          <cell r="L121">
            <v>100.14747222222223</v>
          </cell>
          <cell r="M121" t="str">
            <v/>
          </cell>
          <cell r="N121">
            <v>1.6594</v>
          </cell>
          <cell r="O121">
            <v>793</v>
          </cell>
          <cell r="P121">
            <v>19.899999999999999</v>
          </cell>
          <cell r="Q121" t="str">
            <v/>
          </cell>
          <cell r="R121" t="str">
            <v/>
          </cell>
          <cell r="S121" t="str">
            <v/>
          </cell>
        </row>
        <row r="122">
          <cell r="C122" t="str">
            <v>Example 3 (N-fertiliser from standard values)</v>
          </cell>
          <cell r="E122">
            <v>2827.0048999999999</v>
          </cell>
          <cell r="F122">
            <v>8.6788000000000007</v>
          </cell>
          <cell r="G122">
            <v>9.6417999999999999</v>
          </cell>
          <cell r="H122">
            <v>5917.2312999999995</v>
          </cell>
          <cell r="I122" t="str">
            <v/>
          </cell>
          <cell r="J122" t="str">
            <v/>
          </cell>
          <cell r="K122" t="str">
            <v/>
          </cell>
          <cell r="L122">
            <v>0</v>
          </cell>
          <cell r="M122">
            <v>48.990600000000001</v>
          </cell>
          <cell r="N122" t="str">
            <v/>
          </cell>
          <cell r="O122" t="str">
            <v/>
          </cell>
          <cell r="P122" t="str">
            <v/>
          </cell>
          <cell r="Q122" t="str">
            <v/>
          </cell>
          <cell r="R122" t="str">
            <v/>
          </cell>
          <cell r="S122" t="str">
            <v/>
          </cell>
        </row>
        <row r="123">
          <cell r="C123" t="str">
            <v>Nitrogen</v>
          </cell>
          <cell r="E123">
            <v>434</v>
          </cell>
          <cell r="F123">
            <v>0</v>
          </cell>
          <cell r="G123">
            <v>0</v>
          </cell>
          <cell r="H123">
            <v>434</v>
          </cell>
          <cell r="I123" t="str">
            <v/>
          </cell>
          <cell r="J123" t="str">
            <v/>
          </cell>
          <cell r="K123" t="str">
            <v/>
          </cell>
          <cell r="L123">
            <v>0</v>
          </cell>
          <cell r="M123" t="str">
            <v/>
          </cell>
          <cell r="N123" t="str">
            <v/>
          </cell>
          <cell r="O123" t="str">
            <v/>
          </cell>
          <cell r="P123" t="str">
            <v/>
          </cell>
          <cell r="Q123" t="str">
            <v/>
          </cell>
          <cell r="R123" t="str">
            <v/>
          </cell>
          <cell r="S123" t="str">
            <v/>
          </cell>
        </row>
        <row r="124">
          <cell r="C124" t="str">
            <v/>
          </cell>
          <cell r="E124" t="str">
            <v/>
          </cell>
          <cell r="F124" t="str">
            <v/>
          </cell>
          <cell r="G124" t="str">
            <v/>
          </cell>
          <cell r="H124">
            <v>0</v>
          </cell>
          <cell r="I124" t="str">
            <v/>
          </cell>
          <cell r="J124" t="str">
            <v/>
          </cell>
          <cell r="K124" t="str">
            <v/>
          </cell>
          <cell r="L124">
            <v>0</v>
          </cell>
          <cell r="M124" t="str">
            <v/>
          </cell>
          <cell r="N124" t="str">
            <v/>
          </cell>
          <cell r="O124" t="str">
            <v/>
          </cell>
          <cell r="P124" t="str">
            <v/>
          </cell>
          <cell r="Q124" t="str">
            <v/>
          </cell>
          <cell r="R124" t="str">
            <v/>
          </cell>
          <cell r="S124" t="str">
            <v/>
          </cell>
        </row>
        <row r="125">
          <cell r="C125" t="str">
            <v/>
          </cell>
          <cell r="E125" t="str">
            <v/>
          </cell>
          <cell r="F125" t="str">
            <v/>
          </cell>
          <cell r="G125" t="str">
            <v/>
          </cell>
          <cell r="H125">
            <v>0</v>
          </cell>
          <cell r="I125" t="str">
            <v/>
          </cell>
          <cell r="J125" t="str">
            <v/>
          </cell>
          <cell r="K125" t="str">
            <v/>
          </cell>
          <cell r="L125">
            <v>0</v>
          </cell>
          <cell r="M125" t="str">
            <v/>
          </cell>
          <cell r="N125" t="str">
            <v/>
          </cell>
          <cell r="O125" t="str">
            <v/>
          </cell>
          <cell r="P125" t="str">
            <v/>
          </cell>
          <cell r="Q125" t="str">
            <v/>
          </cell>
          <cell r="R125" t="str">
            <v/>
          </cell>
          <cell r="S125" t="str">
            <v/>
          </cell>
        </row>
        <row r="126">
          <cell r="C126" t="str">
            <v/>
          </cell>
          <cell r="E126" t="str">
            <v/>
          </cell>
          <cell r="F126" t="str">
            <v/>
          </cell>
          <cell r="G126" t="str">
            <v/>
          </cell>
          <cell r="H126">
            <v>0</v>
          </cell>
          <cell r="I126" t="str">
            <v/>
          </cell>
          <cell r="J126" t="str">
            <v/>
          </cell>
          <cell r="K126" t="str">
            <v/>
          </cell>
          <cell r="L126">
            <v>0</v>
          </cell>
          <cell r="M126" t="str">
            <v/>
          </cell>
          <cell r="N126" t="str">
            <v/>
          </cell>
          <cell r="O126" t="str">
            <v/>
          </cell>
          <cell r="P126" t="str">
            <v/>
          </cell>
          <cell r="Q126" t="str">
            <v/>
          </cell>
          <cell r="R126" t="str">
            <v/>
          </cell>
          <cell r="S126" t="str">
            <v/>
          </cell>
        </row>
        <row r="127">
          <cell r="C127" t="str">
            <v/>
          </cell>
          <cell r="E127" t="str">
            <v/>
          </cell>
          <cell r="F127" t="str">
            <v/>
          </cell>
          <cell r="G127" t="str">
            <v/>
          </cell>
          <cell r="H127">
            <v>0</v>
          </cell>
          <cell r="I127" t="str">
            <v/>
          </cell>
          <cell r="J127" t="str">
            <v/>
          </cell>
          <cell r="K127" t="str">
            <v/>
          </cell>
          <cell r="L127">
            <v>0</v>
          </cell>
          <cell r="M127" t="str">
            <v/>
          </cell>
          <cell r="N127" t="str">
            <v/>
          </cell>
          <cell r="O127" t="str">
            <v/>
          </cell>
          <cell r="P127" t="str">
            <v/>
          </cell>
          <cell r="Q127" t="str">
            <v/>
          </cell>
          <cell r="R127" t="str">
            <v/>
          </cell>
          <cell r="S127" t="str">
            <v/>
          </cell>
        </row>
        <row r="128">
          <cell r="C128" t="str">
            <v/>
          </cell>
          <cell r="E128" t="str">
            <v/>
          </cell>
          <cell r="F128" t="str">
            <v/>
          </cell>
          <cell r="G128" t="str">
            <v/>
          </cell>
          <cell r="H128">
            <v>0</v>
          </cell>
          <cell r="I128" t="str">
            <v/>
          </cell>
          <cell r="J128" t="str">
            <v/>
          </cell>
          <cell r="K128" t="str">
            <v/>
          </cell>
          <cell r="L128">
            <v>0</v>
          </cell>
          <cell r="M128" t="str">
            <v/>
          </cell>
          <cell r="N128" t="str">
            <v/>
          </cell>
          <cell r="O128" t="str">
            <v/>
          </cell>
          <cell r="P128" t="str">
            <v/>
          </cell>
          <cell r="Q128" t="str">
            <v/>
          </cell>
          <cell r="R128" t="str">
            <v/>
          </cell>
          <cell r="S128" t="str">
            <v/>
          </cell>
        </row>
        <row r="129">
          <cell r="C129" t="str">
            <v/>
          </cell>
          <cell r="E129" t="str">
            <v/>
          </cell>
          <cell r="F129" t="str">
            <v/>
          </cell>
          <cell r="G129" t="str">
            <v/>
          </cell>
          <cell r="H129">
            <v>0</v>
          </cell>
          <cell r="I129" t="str">
            <v/>
          </cell>
          <cell r="J129" t="str">
            <v/>
          </cell>
          <cell r="K129" t="str">
            <v/>
          </cell>
          <cell r="L129">
            <v>0</v>
          </cell>
          <cell r="M129" t="str">
            <v/>
          </cell>
          <cell r="N129" t="str">
            <v/>
          </cell>
          <cell r="O129" t="str">
            <v/>
          </cell>
          <cell r="P129" t="str">
            <v/>
          </cell>
          <cell r="Q129" t="str">
            <v/>
          </cell>
          <cell r="R129" t="str">
            <v/>
          </cell>
          <cell r="S129" t="str">
            <v/>
          </cell>
        </row>
        <row r="130">
          <cell r="C130" t="str">
            <v/>
          </cell>
          <cell r="E130" t="str">
            <v/>
          </cell>
          <cell r="F130" t="str">
            <v/>
          </cell>
          <cell r="G130" t="str">
            <v/>
          </cell>
          <cell r="H130">
            <v>0</v>
          </cell>
          <cell r="I130" t="str">
            <v/>
          </cell>
          <cell r="J130" t="str">
            <v/>
          </cell>
          <cell r="K130" t="str">
            <v/>
          </cell>
          <cell r="L130">
            <v>0</v>
          </cell>
          <cell r="M130" t="str">
            <v/>
          </cell>
          <cell r="N130" t="str">
            <v/>
          </cell>
          <cell r="O130" t="str">
            <v/>
          </cell>
          <cell r="P130" t="str">
            <v/>
          </cell>
          <cell r="Q130" t="str">
            <v/>
          </cell>
          <cell r="R130" t="str">
            <v/>
          </cell>
          <cell r="S130" t="str">
            <v/>
          </cell>
        </row>
        <row r="131">
          <cell r="C131" t="str">
            <v/>
          </cell>
          <cell r="E131" t="str">
            <v/>
          </cell>
          <cell r="F131" t="str">
            <v/>
          </cell>
          <cell r="G131" t="str">
            <v/>
          </cell>
          <cell r="H131">
            <v>0</v>
          </cell>
          <cell r="I131" t="str">
            <v/>
          </cell>
          <cell r="J131" t="str">
            <v/>
          </cell>
          <cell r="K131" t="str">
            <v/>
          </cell>
          <cell r="L131">
            <v>0</v>
          </cell>
          <cell r="M131" t="str">
            <v/>
          </cell>
          <cell r="N131" t="str">
            <v/>
          </cell>
          <cell r="O131" t="str">
            <v/>
          </cell>
          <cell r="P131" t="str">
            <v/>
          </cell>
          <cell r="Q131" t="str">
            <v/>
          </cell>
          <cell r="R131" t="str">
            <v/>
          </cell>
          <cell r="S131" t="str">
            <v/>
          </cell>
        </row>
        <row r="132">
          <cell r="C132" t="str">
            <v/>
          </cell>
          <cell r="E132" t="str">
            <v/>
          </cell>
          <cell r="F132" t="str">
            <v/>
          </cell>
          <cell r="G132" t="str">
            <v/>
          </cell>
          <cell r="H132">
            <v>0</v>
          </cell>
          <cell r="I132" t="str">
            <v/>
          </cell>
          <cell r="J132" t="str">
            <v/>
          </cell>
          <cell r="K132" t="str">
            <v/>
          </cell>
          <cell r="L132">
            <v>0</v>
          </cell>
          <cell r="M132" t="str">
            <v/>
          </cell>
          <cell r="N132" t="str">
            <v/>
          </cell>
          <cell r="O132" t="str">
            <v/>
          </cell>
          <cell r="P132" t="str">
            <v/>
          </cell>
          <cell r="Q132" t="str">
            <v/>
          </cell>
          <cell r="R132" t="str">
            <v/>
          </cell>
          <cell r="S132" t="str">
            <v/>
          </cell>
        </row>
        <row r="133">
          <cell r="C133" t="str">
            <v/>
          </cell>
          <cell r="E133" t="str">
            <v/>
          </cell>
          <cell r="F133" t="str">
            <v/>
          </cell>
          <cell r="G133" t="str">
            <v/>
          </cell>
          <cell r="H133">
            <v>0</v>
          </cell>
          <cell r="I133" t="str">
            <v/>
          </cell>
          <cell r="J133" t="str">
            <v/>
          </cell>
          <cell r="K133" t="str">
            <v/>
          </cell>
          <cell r="L133">
            <v>0</v>
          </cell>
          <cell r="M133" t="str">
            <v/>
          </cell>
          <cell r="N133" t="str">
            <v/>
          </cell>
          <cell r="O133" t="str">
            <v/>
          </cell>
          <cell r="P133" t="str">
            <v/>
          </cell>
          <cell r="Q133" t="str">
            <v/>
          </cell>
          <cell r="R133" t="str">
            <v/>
          </cell>
          <cell r="S133" t="str">
            <v/>
          </cell>
        </row>
        <row r="134">
          <cell r="C134" t="str">
            <v/>
          </cell>
          <cell r="E134" t="str">
            <v/>
          </cell>
          <cell r="F134" t="str">
            <v/>
          </cell>
          <cell r="G134" t="str">
            <v/>
          </cell>
          <cell r="H134">
            <v>0</v>
          </cell>
          <cell r="I134" t="str">
            <v/>
          </cell>
          <cell r="J134" t="str">
            <v/>
          </cell>
          <cell r="K134" t="str">
            <v/>
          </cell>
          <cell r="L134">
            <v>0</v>
          </cell>
          <cell r="M134" t="str">
            <v/>
          </cell>
          <cell r="N134" t="str">
            <v/>
          </cell>
          <cell r="O134" t="str">
            <v/>
          </cell>
          <cell r="P134" t="str">
            <v/>
          </cell>
          <cell r="Q134" t="str">
            <v/>
          </cell>
          <cell r="R134" t="str">
            <v/>
          </cell>
          <cell r="S134" t="str">
            <v/>
          </cell>
        </row>
        <row r="135">
          <cell r="C135" t="str">
            <v/>
          </cell>
          <cell r="E135" t="str">
            <v/>
          </cell>
          <cell r="F135" t="str">
            <v/>
          </cell>
          <cell r="G135" t="str">
            <v/>
          </cell>
          <cell r="H135">
            <v>0</v>
          </cell>
          <cell r="I135" t="str">
            <v/>
          </cell>
          <cell r="J135" t="str">
            <v/>
          </cell>
          <cell r="K135" t="str">
            <v/>
          </cell>
          <cell r="L135">
            <v>0</v>
          </cell>
          <cell r="M135" t="str">
            <v/>
          </cell>
          <cell r="N135" t="str">
            <v/>
          </cell>
          <cell r="O135" t="str">
            <v/>
          </cell>
          <cell r="P135" t="str">
            <v/>
          </cell>
          <cell r="Q135" t="str">
            <v/>
          </cell>
          <cell r="R135" t="str">
            <v/>
          </cell>
          <cell r="S135" t="str">
            <v/>
          </cell>
        </row>
        <row r="136">
          <cell r="C136" t="str">
            <v/>
          </cell>
          <cell r="E136" t="str">
            <v/>
          </cell>
          <cell r="F136" t="str">
            <v/>
          </cell>
          <cell r="G136" t="str">
            <v/>
          </cell>
          <cell r="H136">
            <v>0</v>
          </cell>
          <cell r="I136" t="str">
            <v/>
          </cell>
          <cell r="J136" t="str">
            <v/>
          </cell>
          <cell r="K136" t="str">
            <v/>
          </cell>
          <cell r="L136">
            <v>0</v>
          </cell>
          <cell r="M136" t="str">
            <v/>
          </cell>
          <cell r="N136" t="str">
            <v/>
          </cell>
          <cell r="O136" t="str">
            <v/>
          </cell>
          <cell r="P136" t="str">
            <v/>
          </cell>
          <cell r="Q136" t="str">
            <v/>
          </cell>
          <cell r="R136" t="str">
            <v/>
          </cell>
          <cell r="S136" t="str">
            <v/>
          </cell>
        </row>
        <row r="137">
          <cell r="C137" t="str">
            <v/>
          </cell>
          <cell r="E137" t="str">
            <v/>
          </cell>
          <cell r="F137" t="str">
            <v/>
          </cell>
          <cell r="G137" t="str">
            <v/>
          </cell>
          <cell r="H137">
            <v>0</v>
          </cell>
          <cell r="I137" t="str">
            <v/>
          </cell>
          <cell r="J137" t="str">
            <v/>
          </cell>
          <cell r="K137" t="str">
            <v/>
          </cell>
          <cell r="L137">
            <v>0</v>
          </cell>
          <cell r="M137" t="str">
            <v/>
          </cell>
          <cell r="N137" t="str">
            <v/>
          </cell>
          <cell r="O137" t="str">
            <v/>
          </cell>
          <cell r="P137" t="str">
            <v/>
          </cell>
          <cell r="Q137" t="str">
            <v/>
          </cell>
          <cell r="R137" t="str">
            <v/>
          </cell>
          <cell r="S137" t="str">
            <v/>
          </cell>
        </row>
        <row r="138">
          <cell r="C138" t="str">
            <v/>
          </cell>
          <cell r="E138" t="str">
            <v/>
          </cell>
          <cell r="F138" t="str">
            <v/>
          </cell>
          <cell r="G138" t="str">
            <v/>
          </cell>
          <cell r="H138">
            <v>0</v>
          </cell>
          <cell r="I138" t="str">
            <v/>
          </cell>
          <cell r="J138" t="str">
            <v/>
          </cell>
          <cell r="K138" t="str">
            <v/>
          </cell>
          <cell r="L138">
            <v>0</v>
          </cell>
          <cell r="M138" t="str">
            <v/>
          </cell>
          <cell r="N138" t="str">
            <v/>
          </cell>
          <cell r="O138" t="str">
            <v/>
          </cell>
          <cell r="P138" t="str">
            <v/>
          </cell>
          <cell r="Q138" t="str">
            <v/>
          </cell>
          <cell r="R138" t="str">
            <v/>
          </cell>
          <cell r="S138" t="str">
            <v/>
          </cell>
        </row>
        <row r="139">
          <cell r="C139" t="str">
            <v/>
          </cell>
          <cell r="E139" t="str">
            <v/>
          </cell>
          <cell r="F139" t="str">
            <v/>
          </cell>
          <cell r="G139" t="str">
            <v/>
          </cell>
          <cell r="H139">
            <v>0</v>
          </cell>
          <cell r="I139" t="str">
            <v/>
          </cell>
          <cell r="J139" t="str">
            <v/>
          </cell>
          <cell r="K139" t="str">
            <v/>
          </cell>
          <cell r="L139">
            <v>0</v>
          </cell>
          <cell r="M139" t="str">
            <v/>
          </cell>
          <cell r="N139" t="str">
            <v/>
          </cell>
          <cell r="O139" t="str">
            <v/>
          </cell>
          <cell r="P139" t="str">
            <v/>
          </cell>
          <cell r="Q139" t="str">
            <v/>
          </cell>
          <cell r="R139" t="str">
            <v/>
          </cell>
          <cell r="S139" t="str">
            <v/>
          </cell>
        </row>
        <row r="140">
          <cell r="C140" t="str">
            <v/>
          </cell>
          <cell r="E140" t="str">
            <v/>
          </cell>
          <cell r="F140" t="str">
            <v/>
          </cell>
          <cell r="G140" t="str">
            <v/>
          </cell>
          <cell r="H140">
            <v>0</v>
          </cell>
          <cell r="I140" t="str">
            <v/>
          </cell>
          <cell r="J140" t="str">
            <v/>
          </cell>
          <cell r="K140" t="str">
            <v/>
          </cell>
          <cell r="L140">
            <v>0</v>
          </cell>
          <cell r="M140" t="str">
            <v/>
          </cell>
          <cell r="N140" t="str">
            <v/>
          </cell>
          <cell r="O140" t="str">
            <v/>
          </cell>
          <cell r="P140" t="str">
            <v/>
          </cell>
          <cell r="Q140" t="str">
            <v/>
          </cell>
          <cell r="R140" t="str">
            <v/>
          </cell>
          <cell r="S140" t="str">
            <v/>
          </cell>
        </row>
        <row r="141">
          <cell r="C141" t="str">
            <v/>
          </cell>
          <cell r="E141" t="str">
            <v/>
          </cell>
          <cell r="F141" t="str">
            <v/>
          </cell>
          <cell r="G141" t="str">
            <v/>
          </cell>
          <cell r="H141">
            <v>0</v>
          </cell>
          <cell r="I141" t="str">
            <v/>
          </cell>
          <cell r="J141" t="str">
            <v/>
          </cell>
          <cell r="K141" t="str">
            <v/>
          </cell>
          <cell r="L141">
            <v>0</v>
          </cell>
          <cell r="M141" t="str">
            <v/>
          </cell>
          <cell r="N141" t="str">
            <v/>
          </cell>
          <cell r="O141" t="str">
            <v/>
          </cell>
          <cell r="P141" t="str">
            <v/>
          </cell>
          <cell r="Q141" t="str">
            <v/>
          </cell>
          <cell r="R141" t="str">
            <v/>
          </cell>
          <cell r="S141" t="str">
            <v/>
          </cell>
        </row>
        <row r="142">
          <cell r="C142" t="str">
            <v/>
          </cell>
          <cell r="E142" t="str">
            <v/>
          </cell>
          <cell r="F142" t="str">
            <v/>
          </cell>
          <cell r="G142" t="str">
            <v/>
          </cell>
          <cell r="H142">
            <v>0</v>
          </cell>
          <cell r="I142" t="str">
            <v/>
          </cell>
          <cell r="J142" t="str">
            <v/>
          </cell>
          <cell r="K142" t="str">
            <v/>
          </cell>
          <cell r="L142">
            <v>0</v>
          </cell>
          <cell r="M142" t="str">
            <v/>
          </cell>
          <cell r="N142" t="str">
            <v/>
          </cell>
          <cell r="O142" t="str">
            <v/>
          </cell>
          <cell r="P142" t="str">
            <v/>
          </cell>
          <cell r="Q142" t="str">
            <v/>
          </cell>
          <cell r="R142" t="str">
            <v/>
          </cell>
          <cell r="S142" t="str">
            <v/>
          </cell>
        </row>
        <row r="143">
          <cell r="C143" t="str">
            <v/>
          </cell>
          <cell r="E143" t="str">
            <v/>
          </cell>
          <cell r="F143" t="str">
            <v/>
          </cell>
          <cell r="G143" t="str">
            <v/>
          </cell>
          <cell r="H143">
            <v>0</v>
          </cell>
          <cell r="I143" t="str">
            <v/>
          </cell>
          <cell r="J143" t="str">
            <v/>
          </cell>
          <cell r="K143" t="str">
            <v/>
          </cell>
          <cell r="L143">
            <v>0</v>
          </cell>
          <cell r="M143" t="str">
            <v/>
          </cell>
          <cell r="N143" t="str">
            <v/>
          </cell>
          <cell r="O143" t="str">
            <v/>
          </cell>
          <cell r="P143" t="str">
            <v/>
          </cell>
          <cell r="Q143" t="str">
            <v/>
          </cell>
          <cell r="R143" t="str">
            <v/>
          </cell>
          <cell r="S143" t="str">
            <v/>
          </cell>
        </row>
        <row r="144">
          <cell r="C144" t="str">
            <v/>
          </cell>
          <cell r="E144" t="str">
            <v/>
          </cell>
          <cell r="F144" t="str">
            <v/>
          </cell>
          <cell r="G144" t="str">
            <v/>
          </cell>
          <cell r="H144">
            <v>0</v>
          </cell>
          <cell r="I144" t="str">
            <v/>
          </cell>
          <cell r="J144" t="str">
            <v/>
          </cell>
          <cell r="K144" t="str">
            <v/>
          </cell>
          <cell r="L144">
            <v>0</v>
          </cell>
          <cell r="M144" t="str">
            <v/>
          </cell>
          <cell r="N144" t="str">
            <v/>
          </cell>
          <cell r="O144" t="str">
            <v/>
          </cell>
          <cell r="P144" t="str">
            <v/>
          </cell>
          <cell r="Q144" t="str">
            <v/>
          </cell>
          <cell r="R144" t="str">
            <v/>
          </cell>
          <cell r="S144" t="str">
            <v/>
          </cell>
        </row>
        <row r="145">
          <cell r="C145" t="str">
            <v/>
          </cell>
          <cell r="E145" t="str">
            <v/>
          </cell>
          <cell r="F145" t="str">
            <v/>
          </cell>
          <cell r="G145" t="str">
            <v/>
          </cell>
          <cell r="H145">
            <v>0</v>
          </cell>
          <cell r="I145" t="str">
            <v/>
          </cell>
          <cell r="J145" t="str">
            <v/>
          </cell>
          <cell r="K145" t="str">
            <v/>
          </cell>
          <cell r="L145">
            <v>0</v>
          </cell>
          <cell r="M145" t="str">
            <v/>
          </cell>
          <cell r="N145" t="str">
            <v/>
          </cell>
          <cell r="O145" t="str">
            <v/>
          </cell>
          <cell r="P145" t="str">
            <v/>
          </cell>
          <cell r="Q145" t="str">
            <v/>
          </cell>
          <cell r="R145" t="str">
            <v/>
          </cell>
          <cell r="S145" t="str">
            <v/>
          </cell>
        </row>
        <row r="146">
          <cell r="C146" t="str">
            <v/>
          </cell>
          <cell r="E146" t="str">
            <v/>
          </cell>
          <cell r="F146" t="str">
            <v/>
          </cell>
          <cell r="G146" t="str">
            <v/>
          </cell>
          <cell r="H146">
            <v>0</v>
          </cell>
          <cell r="I146" t="str">
            <v/>
          </cell>
          <cell r="J146" t="str">
            <v/>
          </cell>
          <cell r="K146" t="str">
            <v/>
          </cell>
          <cell r="L146">
            <v>0</v>
          </cell>
          <cell r="M146" t="str">
            <v/>
          </cell>
          <cell r="N146" t="str">
            <v/>
          </cell>
          <cell r="O146" t="str">
            <v/>
          </cell>
          <cell r="P146" t="str">
            <v/>
          </cell>
          <cell r="Q146" t="str">
            <v/>
          </cell>
          <cell r="R146" t="str">
            <v/>
          </cell>
          <cell r="S146" t="str">
            <v/>
          </cell>
        </row>
        <row r="147">
          <cell r="C147" t="str">
            <v/>
          </cell>
          <cell r="E147" t="str">
            <v/>
          </cell>
          <cell r="F147" t="str">
            <v/>
          </cell>
          <cell r="G147" t="str">
            <v/>
          </cell>
          <cell r="H147">
            <v>0</v>
          </cell>
          <cell r="I147" t="str">
            <v/>
          </cell>
          <cell r="J147" t="str">
            <v/>
          </cell>
          <cell r="K147" t="str">
            <v/>
          </cell>
          <cell r="L147">
            <v>0</v>
          </cell>
          <cell r="M147" t="str">
            <v/>
          </cell>
          <cell r="N147" t="str">
            <v/>
          </cell>
          <cell r="O147" t="str">
            <v/>
          </cell>
          <cell r="P147" t="str">
            <v/>
          </cell>
          <cell r="Q147" t="str">
            <v/>
          </cell>
          <cell r="R147" t="str">
            <v/>
          </cell>
          <cell r="S147" t="str">
            <v/>
          </cell>
        </row>
        <row r="148">
          <cell r="C148" t="str">
            <v/>
          </cell>
          <cell r="E148" t="str">
            <v/>
          </cell>
          <cell r="F148" t="str">
            <v/>
          </cell>
          <cell r="G148" t="str">
            <v/>
          </cell>
          <cell r="H148">
            <v>0</v>
          </cell>
          <cell r="I148" t="str">
            <v/>
          </cell>
          <cell r="J148" t="str">
            <v/>
          </cell>
          <cell r="K148" t="str">
            <v/>
          </cell>
          <cell r="L148">
            <v>0</v>
          </cell>
          <cell r="M148" t="str">
            <v/>
          </cell>
          <cell r="N148" t="str">
            <v/>
          </cell>
          <cell r="O148" t="str">
            <v/>
          </cell>
          <cell r="P148" t="str">
            <v/>
          </cell>
          <cell r="Q148" t="str">
            <v/>
          </cell>
          <cell r="R148" t="str">
            <v/>
          </cell>
          <cell r="S148" t="str">
            <v/>
          </cell>
        </row>
        <row r="149">
          <cell r="C149" t="str">
            <v/>
          </cell>
          <cell r="E149" t="str">
            <v/>
          </cell>
          <cell r="F149" t="str">
            <v/>
          </cell>
          <cell r="G149" t="str">
            <v/>
          </cell>
          <cell r="H149">
            <v>0</v>
          </cell>
          <cell r="I149" t="str">
            <v/>
          </cell>
          <cell r="J149" t="str">
            <v/>
          </cell>
          <cell r="K149" t="str">
            <v/>
          </cell>
          <cell r="L149">
            <v>0</v>
          </cell>
          <cell r="M149" t="str">
            <v/>
          </cell>
          <cell r="N149" t="str">
            <v/>
          </cell>
          <cell r="O149" t="str">
            <v/>
          </cell>
          <cell r="P149" t="str">
            <v/>
          </cell>
          <cell r="Q149" t="str">
            <v/>
          </cell>
          <cell r="R149" t="str">
            <v/>
          </cell>
          <cell r="S149" t="str">
            <v/>
          </cell>
        </row>
        <row r="150">
          <cell r="C150" t="str">
            <v/>
          </cell>
          <cell r="E150" t="str">
            <v/>
          </cell>
          <cell r="F150" t="str">
            <v/>
          </cell>
          <cell r="G150" t="str">
            <v/>
          </cell>
          <cell r="H150">
            <v>0</v>
          </cell>
          <cell r="I150" t="str">
            <v/>
          </cell>
          <cell r="J150" t="str">
            <v/>
          </cell>
          <cell r="K150" t="str">
            <v/>
          </cell>
          <cell r="L150">
            <v>0</v>
          </cell>
          <cell r="M150" t="str">
            <v/>
          </cell>
          <cell r="N150" t="str">
            <v/>
          </cell>
          <cell r="O150" t="str">
            <v/>
          </cell>
          <cell r="P150" t="str">
            <v/>
          </cell>
          <cell r="Q150" t="str">
            <v/>
          </cell>
          <cell r="R150" t="str">
            <v/>
          </cell>
          <cell r="S150" t="str">
            <v/>
          </cell>
        </row>
        <row r="151">
          <cell r="C151" t="str">
            <v/>
          </cell>
          <cell r="E151" t="str">
            <v/>
          </cell>
          <cell r="F151" t="str">
            <v/>
          </cell>
          <cell r="G151" t="str">
            <v/>
          </cell>
          <cell r="H151">
            <v>0</v>
          </cell>
          <cell r="I151" t="str">
            <v/>
          </cell>
          <cell r="J151" t="str">
            <v/>
          </cell>
          <cell r="K151" t="str">
            <v/>
          </cell>
          <cell r="L151">
            <v>0</v>
          </cell>
          <cell r="M151" t="str">
            <v/>
          </cell>
          <cell r="N151" t="str">
            <v/>
          </cell>
          <cell r="O151" t="str">
            <v/>
          </cell>
          <cell r="P151" t="str">
            <v/>
          </cell>
          <cell r="Q151" t="str">
            <v/>
          </cell>
          <cell r="R151" t="str">
            <v/>
          </cell>
          <cell r="S151" t="str">
            <v/>
          </cell>
        </row>
        <row r="152">
          <cell r="C152" t="str">
            <v/>
          </cell>
          <cell r="E152" t="str">
            <v/>
          </cell>
          <cell r="F152" t="str">
            <v/>
          </cell>
          <cell r="G152" t="str">
            <v/>
          </cell>
          <cell r="H152">
            <v>0</v>
          </cell>
          <cell r="I152" t="str">
            <v/>
          </cell>
          <cell r="J152" t="str">
            <v/>
          </cell>
          <cell r="K152" t="str">
            <v/>
          </cell>
          <cell r="L152">
            <v>0</v>
          </cell>
          <cell r="M152" t="str">
            <v/>
          </cell>
          <cell r="N152" t="str">
            <v/>
          </cell>
          <cell r="O152" t="str">
            <v/>
          </cell>
          <cell r="P152" t="str">
            <v/>
          </cell>
          <cell r="Q152" t="str">
            <v/>
          </cell>
          <cell r="R152" t="str">
            <v/>
          </cell>
          <cell r="S152" t="str">
            <v/>
          </cell>
        </row>
        <row r="153">
          <cell r="C153" t="str">
            <v/>
          </cell>
          <cell r="E153" t="str">
            <v/>
          </cell>
          <cell r="F153" t="str">
            <v/>
          </cell>
          <cell r="G153" t="str">
            <v/>
          </cell>
          <cell r="H153">
            <v>0</v>
          </cell>
          <cell r="I153" t="str">
            <v/>
          </cell>
          <cell r="J153" t="str">
            <v/>
          </cell>
          <cell r="K153" t="str">
            <v/>
          </cell>
          <cell r="L153">
            <v>0</v>
          </cell>
          <cell r="M153" t="str">
            <v/>
          </cell>
          <cell r="N153" t="str">
            <v/>
          </cell>
          <cell r="O153" t="str">
            <v/>
          </cell>
          <cell r="P153" t="str">
            <v/>
          </cell>
          <cell r="Q153" t="str">
            <v/>
          </cell>
          <cell r="R153" t="str">
            <v/>
          </cell>
          <cell r="S153" t="str">
            <v/>
          </cell>
        </row>
        <row r="154">
          <cell r="C154" t="str">
            <v/>
          </cell>
          <cell r="E154" t="str">
            <v/>
          </cell>
          <cell r="F154" t="str">
            <v/>
          </cell>
          <cell r="G154" t="str">
            <v/>
          </cell>
          <cell r="H154">
            <v>0</v>
          </cell>
          <cell r="I154" t="str">
            <v/>
          </cell>
          <cell r="J154" t="str">
            <v/>
          </cell>
          <cell r="K154" t="str">
            <v/>
          </cell>
          <cell r="L154">
            <v>0</v>
          </cell>
          <cell r="M154" t="str">
            <v/>
          </cell>
          <cell r="N154" t="str">
            <v/>
          </cell>
          <cell r="O154" t="str">
            <v/>
          </cell>
          <cell r="P154" t="str">
            <v/>
          </cell>
          <cell r="Q154" t="str">
            <v/>
          </cell>
          <cell r="R154" t="str">
            <v/>
          </cell>
          <cell r="S154" t="str">
            <v/>
          </cell>
        </row>
        <row r="155">
          <cell r="C155" t="str">
            <v/>
          </cell>
          <cell r="E155" t="str">
            <v/>
          </cell>
          <cell r="F155" t="str">
            <v/>
          </cell>
          <cell r="G155" t="str">
            <v/>
          </cell>
          <cell r="H155">
            <v>0</v>
          </cell>
          <cell r="I155" t="str">
            <v/>
          </cell>
          <cell r="J155" t="str">
            <v/>
          </cell>
          <cell r="K155" t="str">
            <v/>
          </cell>
          <cell r="L155">
            <v>0</v>
          </cell>
          <cell r="M155" t="str">
            <v/>
          </cell>
          <cell r="N155" t="str">
            <v/>
          </cell>
          <cell r="O155" t="str">
            <v/>
          </cell>
          <cell r="P155" t="str">
            <v/>
          </cell>
          <cell r="Q155" t="str">
            <v/>
          </cell>
          <cell r="R155" t="str">
            <v/>
          </cell>
          <cell r="S155" t="str">
            <v/>
          </cell>
        </row>
        <row r="156">
          <cell r="C156" t="str">
            <v/>
          </cell>
          <cell r="E156" t="str">
            <v/>
          </cell>
          <cell r="F156" t="str">
            <v/>
          </cell>
          <cell r="G156" t="str">
            <v/>
          </cell>
          <cell r="H156">
            <v>0</v>
          </cell>
          <cell r="I156" t="str">
            <v/>
          </cell>
          <cell r="J156" t="str">
            <v/>
          </cell>
          <cell r="K156" t="str">
            <v/>
          </cell>
          <cell r="L156">
            <v>0</v>
          </cell>
          <cell r="M156" t="str">
            <v/>
          </cell>
          <cell r="N156" t="str">
            <v/>
          </cell>
          <cell r="O156" t="str">
            <v/>
          </cell>
          <cell r="P156" t="str">
            <v/>
          </cell>
          <cell r="Q156" t="str">
            <v/>
          </cell>
          <cell r="R156" t="str">
            <v/>
          </cell>
          <cell r="S156" t="str">
            <v/>
          </cell>
        </row>
        <row r="157">
          <cell r="C157" t="str">
            <v/>
          </cell>
          <cell r="E157" t="str">
            <v/>
          </cell>
          <cell r="F157" t="str">
            <v/>
          </cell>
          <cell r="G157" t="str">
            <v/>
          </cell>
          <cell r="H157">
            <v>0</v>
          </cell>
          <cell r="I157" t="str">
            <v/>
          </cell>
          <cell r="J157" t="str">
            <v/>
          </cell>
          <cell r="K157" t="str">
            <v/>
          </cell>
          <cell r="L157">
            <v>0</v>
          </cell>
          <cell r="M157" t="str">
            <v/>
          </cell>
          <cell r="N157" t="str">
            <v/>
          </cell>
          <cell r="O157" t="str">
            <v/>
          </cell>
          <cell r="P157" t="str">
            <v/>
          </cell>
          <cell r="Q157" t="str">
            <v/>
          </cell>
          <cell r="R157" t="str">
            <v/>
          </cell>
          <cell r="S157" t="str">
            <v/>
          </cell>
        </row>
        <row r="158">
          <cell r="C158" t="str">
            <v/>
          </cell>
          <cell r="E158" t="str">
            <v/>
          </cell>
          <cell r="F158" t="str">
            <v/>
          </cell>
          <cell r="G158" t="str">
            <v/>
          </cell>
          <cell r="H158">
            <v>0</v>
          </cell>
          <cell r="I158" t="str">
            <v/>
          </cell>
          <cell r="J158" t="str">
            <v/>
          </cell>
          <cell r="K158" t="str">
            <v/>
          </cell>
          <cell r="L158">
            <v>0</v>
          </cell>
          <cell r="M158" t="str">
            <v/>
          </cell>
          <cell r="N158" t="str">
            <v/>
          </cell>
          <cell r="O158" t="str">
            <v/>
          </cell>
          <cell r="P158" t="str">
            <v/>
          </cell>
          <cell r="Q158" t="str">
            <v/>
          </cell>
          <cell r="R158" t="str">
            <v/>
          </cell>
          <cell r="S158" t="str">
            <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bout"/>
      <sheetName val="Directory"/>
      <sheetName val="LUC"/>
      <sheetName val="Esca"/>
      <sheetName val="Example 1"/>
      <sheetName val="E-Sb"/>
      <sheetName val="Example 4"/>
      <sheetName val="E-Sb (2)"/>
      <sheetName val="CNG-dM (2)"/>
      <sheetName val="E-Wt (not.spec.)"/>
      <sheetName val="E-Wt (Lign-chp)"/>
      <sheetName val="E-Wt (NG-b)"/>
      <sheetName val="E-Wt (NG-chp)"/>
      <sheetName val="E-Wt (Str-chp)"/>
      <sheetName val="E-Co"/>
      <sheetName val="E-Sc"/>
      <sheetName val="Example 2"/>
      <sheetName val="F-Rs"/>
      <sheetName val="F-Sf"/>
      <sheetName val="F-Sy"/>
      <sheetName val="F-Po"/>
      <sheetName val="F-Po (CH4 capt)"/>
      <sheetName val="F-Wo"/>
      <sheetName val="Example 3"/>
      <sheetName val="H-Rs"/>
      <sheetName val="H-Sf"/>
      <sheetName val="H-Po"/>
      <sheetName val="H-Po (CH4 capt)"/>
      <sheetName val="P-Rs"/>
      <sheetName val="CNG-wM"/>
      <sheetName val="CNG-dM"/>
      <sheetName val="CNG-OW"/>
      <sheetName val="User defined standard values"/>
      <sheetName val="Standard values"/>
    </sheetNames>
    <sheetDataSet>
      <sheetData sheetId="0">
        <row r="79">
          <cell r="B7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bout"/>
      <sheetName val="Directory"/>
      <sheetName val="LUC"/>
      <sheetName val="Esca"/>
      <sheetName val="N2O emissions IPCC "/>
      <sheetName val="N2O emissions example1"/>
      <sheetName val="E-Sb"/>
      <sheetName val="Example 3"/>
      <sheetName val="CNG-Sb"/>
      <sheetName val="E-Wt (not.spec.)"/>
      <sheetName val="Example 1"/>
      <sheetName val="E-Wt (example 1)"/>
      <sheetName val="E-Wt (Lign-chp)"/>
      <sheetName val="E-Wt (NG-b)"/>
      <sheetName val="E-Wt (NG-chp)"/>
      <sheetName val="E-Wt (Str-chp)"/>
      <sheetName val="E-Co"/>
      <sheetName val="E-Sc"/>
      <sheetName val="F-Rs"/>
      <sheetName val="F-Sf"/>
      <sheetName val="F-Sy"/>
      <sheetName val="F-Po"/>
      <sheetName val="F-Po (CH4 capt)"/>
      <sheetName val="F-Wo"/>
      <sheetName val="H-Rs"/>
      <sheetName val="Example 2"/>
      <sheetName val="H-Rs calculated"/>
      <sheetName val="H-Sf"/>
      <sheetName val="H-Po"/>
      <sheetName val="H-Po (CH4 capt)"/>
      <sheetName val="P-Rs"/>
      <sheetName val="CNG-OW"/>
      <sheetName val="CNG-wM"/>
      <sheetName val="CNG-dM"/>
      <sheetName val="User defined standard values"/>
      <sheetName val="Standard values"/>
    </sheetNames>
    <sheetDataSet>
      <sheetData sheetId="0" refreshError="1"/>
      <sheetData sheetId="1" refreshError="1"/>
      <sheetData sheetId="2" refreshError="1">
        <row r="35">
          <cell r="D35" t="str">
            <v>Warm temperature moist</v>
          </cell>
        </row>
        <row r="55">
          <cell r="E55">
            <v>67.399200000000008</v>
          </cell>
          <cell r="I55">
            <v>172</v>
          </cell>
        </row>
      </sheetData>
      <sheetData sheetId="3" refreshError="1">
        <row r="42">
          <cell r="D42" t="str">
            <v>No-till</v>
          </cell>
        </row>
        <row r="51">
          <cell r="E51">
            <v>69.827999999999989</v>
          </cell>
          <cell r="I51">
            <v>67.399200000000008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Warning - macro security level"/>
      <sheetName val="Start (macro's disabled)"/>
      <sheetName val="Start"/>
      <sheetName val="About"/>
      <sheetName val="Directory"/>
      <sheetName val="LUC"/>
      <sheetName val="Esca"/>
      <sheetName val="N2O emissions IPCC "/>
      <sheetName val="Calculate efficiencies"/>
      <sheetName val="E-Sb"/>
      <sheetName val="E-Wt (not.spec.)"/>
      <sheetName val="E-Wt (Lign-chp)"/>
      <sheetName val="E-Wt (NG-b)"/>
      <sheetName val="E-Wt (NG-chp)"/>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c.europa.eu/energy/intelligent/" TargetMode="External"/><Relationship Id="rId2" Type="http://schemas.openxmlformats.org/officeDocument/2006/relationships/hyperlink" Target="http://ies.jrc.ec.europa.eu/WTW" TargetMode="External"/><Relationship Id="rId1" Type="http://schemas.openxmlformats.org/officeDocument/2006/relationships/hyperlink" Target="http://re.jrc.ec.europa.eu/biof/xls/Biofuels%20pathways%20RED%20method%2014Nov2008.xl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biograce.ne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bin"/><Relationship Id="rId1" Type="http://schemas.openxmlformats.org/officeDocument/2006/relationships/hyperlink" Target="http://www.biograce.net/"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hyperlink" Target="http://www.biograce.net./" TargetMode="External"/><Relationship Id="rId2" Type="http://schemas.openxmlformats.org/officeDocument/2006/relationships/hyperlink" Target="http://ies.jrc.ec.europa.eu/WTW" TargetMode="External"/><Relationship Id="rId1" Type="http://schemas.openxmlformats.org/officeDocument/2006/relationships/hyperlink" Target="http://re.jrc.ec.europa.eu/biof/xls/Biofuels%20pathways%20RED%20method%2014Nov2008.xls" TargetMode="External"/><Relationship Id="rId5" Type="http://schemas.openxmlformats.org/officeDocument/2006/relationships/drawing" Target="../drawings/drawing2.xml"/><Relationship Id="rId4" Type="http://schemas.openxmlformats.org/officeDocument/2006/relationships/hyperlink" Target="http://ec.europa.eu/energy/intelligent/"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LexUriServ/LexUriServ.do?uri=OJ:L:2010:151:0019:0041:EN:PDF" TargetMode="External"/><Relationship Id="rId1" Type="http://schemas.openxmlformats.org/officeDocument/2006/relationships/hyperlink" Target="http://eur-lex.europa.eu/LexUriServ/LexUriServ.do?uri=OJ:L:2010:151:0019:0041:EN: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eur-lex.europa.eu/LexUriServ/LexUriServ.do?uri=OJ:L:2010:151:0019:0041:EN:PDF" TargetMode="External"/><Relationship Id="rId1" Type="http://schemas.openxmlformats.org/officeDocument/2006/relationships/hyperlink" Target="http://eur-lex.europa.eu/LexUriServ/LexUriServ.do?uri=OJ:L:2010:151:0019:0041:EN: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eur-lex.europa.eu/LexUriServ/LexUriServ.do?uri=OJ:L:2010:151:0019:0041:EN:PDF" TargetMode="External"/><Relationship Id="rId1" Type="http://schemas.openxmlformats.org/officeDocument/2006/relationships/hyperlink" Target="http://eur-lex.europa.eu/LexUriServ/LexUriServ.do?uri=OJ:L:2010:151:0019:0041:EN:PD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Лист3"/>
  <dimension ref="A1:H92"/>
  <sheetViews>
    <sheetView tabSelected="1" zoomScaleNormal="100" zoomScalePageLayoutView="90" workbookViewId="0">
      <selection activeCell="A76" sqref="A76:D76"/>
    </sheetView>
  </sheetViews>
  <sheetFormatPr defaultColWidth="8.85546875" defaultRowHeight="14.25"/>
  <cols>
    <col min="1" max="1" width="8.85546875" style="1551"/>
    <col min="2" max="2" width="8.28515625" style="1551" customWidth="1"/>
    <col min="3" max="3" width="16.85546875" style="1551" customWidth="1"/>
    <col min="4" max="4" width="129" style="1551" customWidth="1"/>
    <col min="5" max="16384" width="8.85546875" style="1551"/>
  </cols>
  <sheetData>
    <row r="1" spans="1:8" ht="84" customHeight="1" thickBot="1">
      <c r="A1" s="2820"/>
      <c r="B1" s="2821"/>
      <c r="C1" s="2821"/>
      <c r="D1" s="2822"/>
    </row>
    <row r="2" spans="1:8" ht="42" customHeight="1" thickBot="1">
      <c r="A2" s="2823" t="s">
        <v>1570</v>
      </c>
      <c r="B2" s="2824"/>
      <c r="C2" s="2824"/>
      <c r="D2" s="2825"/>
    </row>
    <row r="3" spans="1:8">
      <c r="A3" s="2169" t="s">
        <v>1569</v>
      </c>
      <c r="B3" s="2170"/>
      <c r="C3" s="2170"/>
      <c r="D3" s="2171"/>
    </row>
    <row r="4" spans="1:8" ht="19.5" customHeight="1">
      <c r="A4" s="2826" t="s">
        <v>452</v>
      </c>
      <c r="B4" s="2827"/>
      <c r="C4" s="2827"/>
      <c r="D4" s="2828"/>
    </row>
    <row r="5" spans="1:8" ht="72" customHeight="1">
      <c r="A5" s="2807" t="s">
        <v>1584</v>
      </c>
      <c r="B5" s="2808"/>
      <c r="C5" s="2808"/>
      <c r="D5" s="2809"/>
      <c r="H5"/>
    </row>
    <row r="6" spans="1:8">
      <c r="A6" s="2172"/>
      <c r="B6" s="2173"/>
      <c r="C6" s="2173"/>
      <c r="D6" s="2174"/>
    </row>
    <row r="7" spans="1:8">
      <c r="A7" s="2826" t="s">
        <v>451</v>
      </c>
      <c r="B7" s="2829"/>
      <c r="C7" s="2829"/>
      <c r="D7" s="2830"/>
    </row>
    <row r="8" spans="1:8">
      <c r="A8" s="2524" t="s">
        <v>26</v>
      </c>
      <c r="B8" s="2525"/>
      <c r="C8" s="2531" t="s">
        <v>27</v>
      </c>
      <c r="D8" s="2175" t="s">
        <v>1571</v>
      </c>
    </row>
    <row r="9" spans="1:8" ht="14.25" customHeight="1">
      <c r="A9" s="2524" t="s">
        <v>28</v>
      </c>
      <c r="B9" s="2525"/>
      <c r="C9" s="2531" t="s">
        <v>29</v>
      </c>
      <c r="D9" s="2175" t="s">
        <v>450</v>
      </c>
    </row>
    <row r="10" spans="1:8" ht="31.5">
      <c r="A10" s="2526" t="s">
        <v>45</v>
      </c>
      <c r="B10" s="2527"/>
      <c r="C10" s="2532" t="s">
        <v>30</v>
      </c>
      <c r="D10" s="2176" t="s">
        <v>449</v>
      </c>
    </row>
    <row r="11" spans="1:8">
      <c r="A11" s="2658" t="s">
        <v>1573</v>
      </c>
      <c r="B11" s="2528"/>
      <c r="C11" s="2533" t="s">
        <v>31</v>
      </c>
      <c r="D11" s="2175" t="s">
        <v>1572</v>
      </c>
    </row>
    <row r="12" spans="1:8">
      <c r="A12" s="2529" t="s">
        <v>32</v>
      </c>
      <c r="B12" s="2530"/>
      <c r="C12" s="2534" t="s">
        <v>33</v>
      </c>
      <c r="D12" s="2175" t="s">
        <v>562</v>
      </c>
    </row>
    <row r="13" spans="1:8" ht="14.25" customHeight="1">
      <c r="A13" s="2524" t="s">
        <v>1575</v>
      </c>
      <c r="B13" s="2525"/>
      <c r="C13" s="2531" t="s">
        <v>34</v>
      </c>
      <c r="D13" s="2175" t="s">
        <v>1574</v>
      </c>
    </row>
    <row r="14" spans="1:8" ht="14.25" customHeight="1">
      <c r="A14" s="2529" t="s">
        <v>35</v>
      </c>
      <c r="B14" s="2530"/>
      <c r="C14" s="2534" t="s">
        <v>36</v>
      </c>
      <c r="D14" s="2175" t="s">
        <v>1576</v>
      </c>
    </row>
    <row r="15" spans="1:8" ht="38.25">
      <c r="A15" s="2831" t="s">
        <v>448</v>
      </c>
      <c r="B15" s="2832"/>
      <c r="C15" s="2833"/>
      <c r="D15" s="2523" t="s">
        <v>1577</v>
      </c>
    </row>
    <row r="16" spans="1:8" ht="14.25" customHeight="1">
      <c r="A16" s="2529" t="s">
        <v>37</v>
      </c>
      <c r="B16" s="2530"/>
      <c r="C16" s="2534" t="s">
        <v>38</v>
      </c>
      <c r="D16" s="2175" t="s">
        <v>485</v>
      </c>
    </row>
    <row r="17" spans="1:4">
      <c r="A17" s="2524" t="s">
        <v>39</v>
      </c>
      <c r="B17" s="2525"/>
      <c r="C17" s="2531" t="s">
        <v>40</v>
      </c>
      <c r="D17" s="2175" t="s">
        <v>484</v>
      </c>
    </row>
    <row r="18" spans="1:4" ht="14.25" customHeight="1">
      <c r="A18" s="2529" t="s">
        <v>41</v>
      </c>
      <c r="B18" s="2530"/>
      <c r="C18" s="2534" t="s">
        <v>42</v>
      </c>
      <c r="D18" s="2175" t="s">
        <v>483</v>
      </c>
    </row>
    <row r="19" spans="1:4">
      <c r="A19" s="2524" t="s">
        <v>43</v>
      </c>
      <c r="B19" s="2525"/>
      <c r="C19" s="2531" t="s">
        <v>44</v>
      </c>
      <c r="D19" s="2175" t="s">
        <v>482</v>
      </c>
    </row>
    <row r="20" spans="1:4" ht="66.75">
      <c r="A20" s="2831" t="s">
        <v>481</v>
      </c>
      <c r="B20" s="2832"/>
      <c r="C20" s="2833"/>
      <c r="D20" s="2523" t="s">
        <v>1501</v>
      </c>
    </row>
    <row r="21" spans="1:4">
      <c r="A21" s="2172"/>
      <c r="B21" s="2173"/>
      <c r="C21" s="2173"/>
      <c r="D21" s="2174"/>
    </row>
    <row r="22" spans="1:4">
      <c r="A22" s="2826" t="s">
        <v>480</v>
      </c>
      <c r="B22" s="2827"/>
      <c r="C22" s="2827"/>
      <c r="D22" s="2828"/>
    </row>
    <row r="23" spans="1:4" ht="30" customHeight="1">
      <c r="A23" s="2807" t="s">
        <v>1578</v>
      </c>
      <c r="B23" s="2808"/>
      <c r="C23" s="2808"/>
      <c r="D23" s="2809"/>
    </row>
    <row r="24" spans="1:4">
      <c r="A24" s="2807" t="s">
        <v>479</v>
      </c>
      <c r="B24" s="2808"/>
      <c r="C24" s="2808"/>
      <c r="D24" s="2809"/>
    </row>
    <row r="25" spans="1:4" ht="50.25" customHeight="1">
      <c r="A25" s="2535"/>
      <c r="B25" s="2536"/>
      <c r="C25" s="2536"/>
      <c r="D25" s="2681" t="s">
        <v>1579</v>
      </c>
    </row>
    <row r="26" spans="1:4" ht="25.5">
      <c r="A26" s="2535"/>
      <c r="B26" s="2536"/>
      <c r="C26" s="2536"/>
      <c r="D26" s="2629" t="s">
        <v>1502</v>
      </c>
    </row>
    <row r="27" spans="1:4">
      <c r="A27" s="2813" t="s">
        <v>478</v>
      </c>
      <c r="B27" s="2814"/>
      <c r="C27" s="2814"/>
      <c r="D27" s="2815"/>
    </row>
    <row r="28" spans="1:4" ht="27.6" customHeight="1">
      <c r="A28" s="2807" t="s">
        <v>1580</v>
      </c>
      <c r="B28" s="2808"/>
      <c r="C28" s="2808"/>
      <c r="D28" s="2809"/>
    </row>
    <row r="29" spans="1:4">
      <c r="A29" s="2807" t="s">
        <v>477</v>
      </c>
      <c r="B29" s="2808"/>
      <c r="C29" s="2808"/>
      <c r="D29" s="2809"/>
    </row>
    <row r="30" spans="1:4" ht="15">
      <c r="A30" s="2813" t="s">
        <v>476</v>
      </c>
      <c r="B30" s="2814"/>
      <c r="C30" s="2814"/>
      <c r="D30" s="2815"/>
    </row>
    <row r="31" spans="1:4" ht="27.6" customHeight="1">
      <c r="A31" s="2807" t="s">
        <v>1581</v>
      </c>
      <c r="B31" s="2808"/>
      <c r="C31" s="2808"/>
      <c r="D31" s="2809"/>
    </row>
    <row r="32" spans="1:4">
      <c r="A32" s="2807" t="s">
        <v>1582</v>
      </c>
      <c r="B32" s="2808"/>
      <c r="C32" s="2808"/>
      <c r="D32" s="2809"/>
    </row>
    <row r="33" spans="1:4" ht="30.75" customHeight="1">
      <c r="A33" s="2807" t="s">
        <v>1583</v>
      </c>
      <c r="B33" s="2808"/>
      <c r="C33" s="2808"/>
      <c r="D33" s="2809"/>
    </row>
    <row r="34" spans="1:4">
      <c r="A34" s="2813"/>
      <c r="B34" s="2814"/>
      <c r="C34" s="2814"/>
      <c r="D34" s="2815"/>
    </row>
    <row r="35" spans="1:4" ht="90" customHeight="1">
      <c r="A35" s="2807" t="s">
        <v>1585</v>
      </c>
      <c r="B35" s="2808"/>
      <c r="C35" s="2808"/>
      <c r="D35" s="2809"/>
    </row>
    <row r="36" spans="1:4">
      <c r="A36" s="2535"/>
      <c r="B36" s="2536"/>
      <c r="C36" s="2536"/>
      <c r="D36" s="2537"/>
    </row>
    <row r="37" spans="1:4">
      <c r="A37" s="2810" t="s">
        <v>475</v>
      </c>
      <c r="B37" s="2811"/>
      <c r="C37" s="2811"/>
      <c r="D37" s="2812"/>
    </row>
    <row r="38" spans="1:4" ht="39.75" customHeight="1">
      <c r="A38" s="2807" t="s">
        <v>1586</v>
      </c>
      <c r="B38" s="2808"/>
      <c r="C38" s="2808"/>
      <c r="D38" s="2809"/>
    </row>
    <row r="39" spans="1:4" ht="42" customHeight="1">
      <c r="A39" s="2807" t="s">
        <v>1587</v>
      </c>
      <c r="B39" s="2808"/>
      <c r="C39" s="2808"/>
      <c r="D39" s="2809"/>
    </row>
    <row r="40" spans="1:4" ht="26.25" customHeight="1">
      <c r="A40" s="2807" t="s">
        <v>1503</v>
      </c>
      <c r="B40" s="2808"/>
      <c r="C40" s="2808"/>
      <c r="D40" s="2809"/>
    </row>
    <row r="41" spans="1:4" ht="26.45" customHeight="1">
      <c r="A41" s="2807" t="s">
        <v>1504</v>
      </c>
      <c r="B41" s="2808"/>
      <c r="C41" s="2808"/>
      <c r="D41" s="2809"/>
    </row>
    <row r="42" spans="1:4" ht="53.45" customHeight="1">
      <c r="A42" s="2807" t="s">
        <v>1588</v>
      </c>
      <c r="B42" s="2808"/>
      <c r="C42" s="2808"/>
      <c r="D42" s="2809"/>
    </row>
    <row r="43" spans="1:4">
      <c r="A43" s="2535"/>
      <c r="B43" s="2536"/>
      <c r="C43" s="2536"/>
      <c r="D43" s="2537"/>
    </row>
    <row r="44" spans="1:4">
      <c r="A44" s="2810" t="s">
        <v>1505</v>
      </c>
      <c r="B44" s="2811"/>
      <c r="C44" s="2811"/>
      <c r="D44" s="2812"/>
    </row>
    <row r="45" spans="1:4" ht="27.6" customHeight="1">
      <c r="A45" s="2807" t="s">
        <v>1506</v>
      </c>
      <c r="B45" s="2808"/>
      <c r="C45" s="2808"/>
      <c r="D45" s="2809"/>
    </row>
    <row r="46" spans="1:4" ht="66.599999999999994" customHeight="1">
      <c r="A46" s="2807" t="s">
        <v>1589</v>
      </c>
      <c r="B46" s="2808"/>
      <c r="C46" s="2808"/>
      <c r="D46" s="2809"/>
    </row>
    <row r="47" spans="1:4">
      <c r="A47" s="2535"/>
      <c r="B47" s="2536"/>
      <c r="C47" s="2536"/>
      <c r="D47" s="2537"/>
    </row>
    <row r="48" spans="1:4">
      <c r="A48" s="2810" t="s">
        <v>488</v>
      </c>
      <c r="B48" s="2811"/>
      <c r="C48" s="2811"/>
      <c r="D48" s="2812"/>
    </row>
    <row r="49" spans="1:4" ht="39" customHeight="1">
      <c r="A49" s="2807" t="s">
        <v>1590</v>
      </c>
      <c r="B49" s="2808"/>
      <c r="C49" s="2808"/>
      <c r="D49" s="2809"/>
    </row>
    <row r="50" spans="1:4">
      <c r="A50" s="2816" t="s">
        <v>14</v>
      </c>
      <c r="B50" s="2817"/>
      <c r="C50" s="2817"/>
      <c r="D50" s="2818"/>
    </row>
    <row r="51" spans="1:4">
      <c r="A51" s="2819" t="s">
        <v>1135</v>
      </c>
      <c r="B51" s="2817"/>
      <c r="C51" s="2817"/>
      <c r="D51" s="2818"/>
    </row>
    <row r="52" spans="1:4" ht="45" customHeight="1">
      <c r="A52" s="2807" t="s">
        <v>1591</v>
      </c>
      <c r="B52" s="2808"/>
      <c r="C52" s="2808"/>
      <c r="D52" s="2809"/>
    </row>
    <row r="53" spans="1:4" ht="27.6" customHeight="1">
      <c r="A53" s="2807" t="s">
        <v>1592</v>
      </c>
      <c r="B53" s="2808"/>
      <c r="C53" s="2808"/>
      <c r="D53" s="2809"/>
    </row>
    <row r="54" spans="1:4">
      <c r="A54" s="2807" t="s">
        <v>1507</v>
      </c>
      <c r="B54" s="2808"/>
      <c r="C54" s="2808"/>
      <c r="D54" s="2809"/>
    </row>
    <row r="55" spans="1:4" ht="15.75" customHeight="1">
      <c r="A55" s="2813" t="s">
        <v>12</v>
      </c>
      <c r="B55" s="2814"/>
      <c r="C55" s="2814"/>
      <c r="D55" s="2815"/>
    </row>
    <row r="56" spans="1:4" ht="14.25" customHeight="1">
      <c r="A56" s="2807" t="s">
        <v>1593</v>
      </c>
      <c r="B56" s="2808"/>
      <c r="C56" s="2808"/>
      <c r="D56" s="2809"/>
    </row>
    <row r="57" spans="1:4">
      <c r="A57" s="2819" t="s">
        <v>1137</v>
      </c>
      <c r="B57" s="2817"/>
      <c r="C57" s="2817"/>
      <c r="D57" s="2818"/>
    </row>
    <row r="58" spans="1:4" ht="29.25" customHeight="1">
      <c r="A58" s="2807" t="s">
        <v>1594</v>
      </c>
      <c r="B58" s="2808"/>
      <c r="C58" s="2808"/>
      <c r="D58" s="2809"/>
    </row>
    <row r="59" spans="1:4" ht="12.75" customHeight="1">
      <c r="A59" s="2807" t="s">
        <v>11</v>
      </c>
      <c r="B59" s="2808"/>
      <c r="C59" s="2808"/>
      <c r="D59" s="2809"/>
    </row>
    <row r="60" spans="1:4" ht="14.25" customHeight="1">
      <c r="A60" s="2813" t="s">
        <v>487</v>
      </c>
      <c r="B60" s="2814"/>
      <c r="C60" s="2814"/>
      <c r="D60" s="2815"/>
    </row>
    <row r="61" spans="1:4" ht="43.5" customHeight="1">
      <c r="A61" s="2807" t="s">
        <v>1595</v>
      </c>
      <c r="B61" s="2808"/>
      <c r="C61" s="2808"/>
      <c r="D61" s="2809"/>
    </row>
    <row r="62" spans="1:4" ht="27" customHeight="1">
      <c r="A62" s="2807"/>
      <c r="B62" s="2808"/>
      <c r="C62" s="2808"/>
      <c r="D62" s="2809"/>
    </row>
    <row r="63" spans="1:4" ht="26.45" customHeight="1">
      <c r="A63" s="2807" t="s">
        <v>1596</v>
      </c>
      <c r="B63" s="2808"/>
      <c r="C63" s="2808"/>
      <c r="D63" s="2809"/>
    </row>
    <row r="64" spans="1:4">
      <c r="A64" s="2535"/>
      <c r="B64" s="2536"/>
      <c r="C64" s="2536"/>
      <c r="D64" s="2537"/>
    </row>
    <row r="65" spans="1:4">
      <c r="A65" s="2810" t="s">
        <v>486</v>
      </c>
      <c r="B65" s="2808"/>
      <c r="C65" s="2808"/>
      <c r="D65" s="2809"/>
    </row>
    <row r="66" spans="1:4" ht="56.1" customHeight="1">
      <c r="A66" s="2807" t="s">
        <v>1597</v>
      </c>
      <c r="B66" s="2808"/>
      <c r="C66" s="2808"/>
      <c r="D66" s="2809"/>
    </row>
    <row r="67" spans="1:4">
      <c r="A67" s="2807" t="s">
        <v>1598</v>
      </c>
      <c r="B67" s="2808"/>
      <c r="C67" s="2808"/>
      <c r="D67" s="2809"/>
    </row>
    <row r="68" spans="1:4" ht="24" customHeight="1">
      <c r="A68" s="2807" t="s">
        <v>1599</v>
      </c>
      <c r="B68" s="2808"/>
      <c r="C68" s="2808"/>
      <c r="D68" s="2809"/>
    </row>
    <row r="69" spans="1:4">
      <c r="A69" s="2807" t="s">
        <v>506</v>
      </c>
      <c r="B69" s="2808"/>
      <c r="C69" s="2808"/>
      <c r="D69" s="2809"/>
    </row>
    <row r="70" spans="1:4" ht="14.1" customHeight="1">
      <c r="A70" s="2807" t="s">
        <v>1600</v>
      </c>
      <c r="B70" s="2808"/>
      <c r="C70" s="2808"/>
      <c r="D70" s="2809"/>
    </row>
    <row r="71" spans="1:4" ht="27.75" customHeight="1">
      <c r="A71" s="2807" t="s">
        <v>505</v>
      </c>
      <c r="B71" s="2808"/>
      <c r="C71" s="2808"/>
      <c r="D71" s="2809"/>
    </row>
    <row r="72" spans="1:4" ht="28.5" customHeight="1">
      <c r="A72" s="2807" t="s">
        <v>1508</v>
      </c>
      <c r="B72" s="2808"/>
      <c r="C72" s="2808"/>
      <c r="D72" s="2809"/>
    </row>
    <row r="73" spans="1:4" ht="15" thickBot="1">
      <c r="A73" s="2807" t="s">
        <v>504</v>
      </c>
      <c r="B73" s="2808"/>
      <c r="C73" s="2808"/>
      <c r="D73" s="2809"/>
    </row>
    <row r="74" spans="1:4" ht="15" thickBot="1">
      <c r="A74" s="2535"/>
      <c r="B74" s="2536"/>
      <c r="C74" s="570">
        <v>1</v>
      </c>
      <c r="D74" s="2537"/>
    </row>
    <row r="75" spans="1:4">
      <c r="A75" s="2807" t="s">
        <v>503</v>
      </c>
      <c r="B75" s="2808"/>
      <c r="C75" s="2808"/>
      <c r="D75" s="2809"/>
    </row>
    <row r="76" spans="1:4" ht="42" customHeight="1">
      <c r="A76" s="2807" t="s">
        <v>1601</v>
      </c>
      <c r="B76" s="2808"/>
      <c r="C76" s="2808"/>
      <c r="D76" s="2809"/>
    </row>
    <row r="77" spans="1:4">
      <c r="A77" s="2535"/>
      <c r="B77" s="2536"/>
      <c r="C77" s="2536"/>
      <c r="D77" s="2537"/>
    </row>
    <row r="78" spans="1:4">
      <c r="A78" s="2810" t="s">
        <v>502</v>
      </c>
      <c r="B78" s="2811"/>
      <c r="C78" s="2811"/>
      <c r="D78" s="2812"/>
    </row>
    <row r="79" spans="1:4" ht="15" customHeight="1">
      <c r="A79" s="2807" t="s">
        <v>5</v>
      </c>
      <c r="B79" s="2808"/>
      <c r="C79" s="2808"/>
      <c r="D79" s="2809"/>
    </row>
    <row r="80" spans="1:4">
      <c r="A80" s="2807" t="s">
        <v>6</v>
      </c>
      <c r="B80" s="2808"/>
      <c r="C80" s="2808"/>
      <c r="D80" s="2809"/>
    </row>
    <row r="81" spans="1:4">
      <c r="A81" s="2819" t="s">
        <v>15</v>
      </c>
      <c r="B81" s="2817"/>
      <c r="C81" s="2817"/>
      <c r="D81" s="2818"/>
    </row>
    <row r="82" spans="1:4">
      <c r="A82" s="2630"/>
      <c r="B82" s="2631"/>
      <c r="C82" s="2631"/>
      <c r="D82" s="2632"/>
    </row>
    <row r="83" spans="1:4">
      <c r="A83" s="2810" t="s">
        <v>501</v>
      </c>
      <c r="B83" s="2811"/>
      <c r="C83" s="2811"/>
      <c r="D83" s="2812"/>
    </row>
    <row r="84" spans="1:4" ht="16.350000000000001" customHeight="1">
      <c r="A84" s="2807" t="s">
        <v>8</v>
      </c>
      <c r="B84" s="2808"/>
      <c r="C84" s="2808"/>
      <c r="D84" s="2809"/>
    </row>
    <row r="85" spans="1:4">
      <c r="A85" s="2807" t="s">
        <v>7</v>
      </c>
      <c r="B85" s="2808"/>
      <c r="C85" s="2808"/>
      <c r="D85" s="2809"/>
    </row>
    <row r="86" spans="1:4">
      <c r="A86" s="2819" t="s">
        <v>1500</v>
      </c>
      <c r="B86" s="2817"/>
      <c r="C86" s="2817"/>
      <c r="D86" s="2818"/>
    </row>
    <row r="87" spans="1:4">
      <c r="A87" s="2656"/>
      <c r="B87" s="2631"/>
      <c r="C87" s="2631"/>
      <c r="D87" s="2632"/>
    </row>
    <row r="88" spans="1:4" ht="27" customHeight="1">
      <c r="A88" s="2804" t="s">
        <v>500</v>
      </c>
      <c r="B88" s="2805"/>
      <c r="C88" s="2805"/>
      <c r="D88" s="2806"/>
    </row>
    <row r="89" spans="1:4">
      <c r="A89" s="2177"/>
      <c r="B89" s="2178"/>
      <c r="C89" s="2178"/>
      <c r="D89" s="2179"/>
    </row>
    <row r="90" spans="1:4">
      <c r="A90" s="2177"/>
      <c r="B90" s="2178"/>
      <c r="C90" s="2178"/>
      <c r="D90" s="2179"/>
    </row>
    <row r="91" spans="1:4">
      <c r="A91" s="2177"/>
      <c r="B91" s="2178"/>
      <c r="C91" s="2178"/>
      <c r="D91" s="2179"/>
    </row>
    <row r="92" spans="1:4" ht="15" thickBot="1">
      <c r="A92" s="2180"/>
      <c r="B92" s="2181"/>
      <c r="C92" s="2181"/>
      <c r="D92" s="2182"/>
    </row>
  </sheetData>
  <mergeCells count="64">
    <mergeCell ref="A51:D51"/>
    <mergeCell ref="A57:D57"/>
    <mergeCell ref="A81:D81"/>
    <mergeCell ref="A86:D86"/>
    <mergeCell ref="A1:D1"/>
    <mergeCell ref="A2:D2"/>
    <mergeCell ref="A4:D4"/>
    <mergeCell ref="A28:D28"/>
    <mergeCell ref="A29:D29"/>
    <mergeCell ref="A7:D7"/>
    <mergeCell ref="A20:C20"/>
    <mergeCell ref="A5:D5"/>
    <mergeCell ref="A22:D22"/>
    <mergeCell ref="A23:D23"/>
    <mergeCell ref="A24:D24"/>
    <mergeCell ref="A15:C15"/>
    <mergeCell ref="A27:D27"/>
    <mergeCell ref="A39:D39"/>
    <mergeCell ref="A40:D40"/>
    <mergeCell ref="A41:D41"/>
    <mergeCell ref="A42:D42"/>
    <mergeCell ref="A30:D30"/>
    <mergeCell ref="A31:D31"/>
    <mergeCell ref="A52:D52"/>
    <mergeCell ref="A53:D53"/>
    <mergeCell ref="A54:D54"/>
    <mergeCell ref="A55:D55"/>
    <mergeCell ref="A32:D32"/>
    <mergeCell ref="A33:D33"/>
    <mergeCell ref="A34:D34"/>
    <mergeCell ref="A35:D35"/>
    <mergeCell ref="A37:D37"/>
    <mergeCell ref="A38:D38"/>
    <mergeCell ref="A44:D44"/>
    <mergeCell ref="A45:D45"/>
    <mergeCell ref="A46:D46"/>
    <mergeCell ref="A48:D48"/>
    <mergeCell ref="A49:D49"/>
    <mergeCell ref="A50:D50"/>
    <mergeCell ref="A56:D56"/>
    <mergeCell ref="A58:D58"/>
    <mergeCell ref="A59:D59"/>
    <mergeCell ref="A60:D60"/>
    <mergeCell ref="A72:D72"/>
    <mergeCell ref="A61:D61"/>
    <mergeCell ref="A62:D62"/>
    <mergeCell ref="A63:D63"/>
    <mergeCell ref="A65:D65"/>
    <mergeCell ref="A66:D66"/>
    <mergeCell ref="A73:D73"/>
    <mergeCell ref="A75:D75"/>
    <mergeCell ref="A76:D76"/>
    <mergeCell ref="A78:D78"/>
    <mergeCell ref="A67:D67"/>
    <mergeCell ref="A68:D68"/>
    <mergeCell ref="A69:D69"/>
    <mergeCell ref="A70:D70"/>
    <mergeCell ref="A71:D71"/>
    <mergeCell ref="A88:D88"/>
    <mergeCell ref="A79:D79"/>
    <mergeCell ref="A80:D80"/>
    <mergeCell ref="A84:D84"/>
    <mergeCell ref="A85:D85"/>
    <mergeCell ref="A83:D83"/>
  </mergeCells>
  <phoneticPr fontId="184" type="noConversion"/>
  <hyperlinks>
    <hyperlink ref="A51" r:id="rId1"/>
    <hyperlink ref="A57" r:id="rId2"/>
    <hyperlink ref="A86" r:id="rId3"/>
    <hyperlink ref="A81" r:id="rId4"/>
  </hyperlinks>
  <pageMargins left="0.7" right="0.7" top="0.75" bottom="0.75" header="0.3" footer="0.3"/>
  <pageSetup paperSize="9" orientation="portrait" verticalDpi="0" r:id="rId5"/>
  <drawing r:id="rId6"/>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sheetPr codeName="Feuil1">
    <pageSetUpPr fitToPage="1"/>
  </sheetPr>
  <dimension ref="A1:AG94"/>
  <sheetViews>
    <sheetView showGridLines="0" zoomScaleNormal="100" workbookViewId="0">
      <selection activeCell="R83" sqref="R83"/>
    </sheetView>
  </sheetViews>
  <sheetFormatPr defaultColWidth="11.42578125" defaultRowHeight="12.75"/>
  <cols>
    <col min="1" max="1" width="49.7109375" style="643" customWidth="1"/>
    <col min="2" max="2" width="16.85546875" style="643" customWidth="1"/>
    <col min="3" max="3" width="15" style="643" customWidth="1"/>
    <col min="4" max="4" width="12.28515625" style="643" customWidth="1"/>
    <col min="5" max="5" width="8.42578125" style="643" customWidth="1"/>
    <col min="6" max="6" width="14.42578125" style="643" customWidth="1"/>
    <col min="7" max="7" width="17.42578125" style="643" customWidth="1"/>
    <col min="8" max="8" width="9" style="643" customWidth="1"/>
    <col min="9" max="9" width="12.140625" style="643" customWidth="1"/>
    <col min="10" max="10" width="8.42578125" style="643" customWidth="1"/>
    <col min="11" max="11" width="12" style="643" customWidth="1"/>
    <col min="12" max="12" width="11.42578125" style="643"/>
    <col min="13" max="13" width="11.28515625" style="643" customWidth="1"/>
    <col min="14" max="14" width="13.7109375" style="643" customWidth="1"/>
    <col min="15" max="15" width="16.7109375" style="643" customWidth="1"/>
    <col min="16" max="16" width="13.42578125" style="643" customWidth="1"/>
    <col min="17" max="17" width="11.42578125" style="643"/>
    <col min="18" max="18" width="13.7109375" style="643" customWidth="1"/>
    <col min="19" max="20" width="11.42578125" style="643"/>
    <col min="21" max="21" width="17.28515625" style="643" customWidth="1"/>
    <col min="22" max="24" width="11.42578125" style="643"/>
    <col min="25" max="25" width="12.42578125" style="643" customWidth="1"/>
    <col min="26" max="26" width="30.85546875" style="643" customWidth="1"/>
    <col min="27" max="29" width="11.42578125" style="643"/>
    <col min="30" max="30" width="12.85546875" style="614" customWidth="1"/>
    <col min="31" max="32" width="11.42578125" style="614"/>
    <col min="33" max="33" width="19.85546875" style="614" customWidth="1"/>
    <col min="34" max="16384" width="11.42578125" style="614"/>
  </cols>
  <sheetData>
    <row r="1" spans="1:29" customFormat="1" ht="102.75" customHeight="1">
      <c r="A1" s="530"/>
      <c r="B1" s="530"/>
      <c r="C1" s="530"/>
      <c r="D1" s="530"/>
      <c r="E1" s="530"/>
      <c r="F1" s="530"/>
      <c r="G1" s="530"/>
      <c r="H1" s="530"/>
      <c r="I1" s="530"/>
      <c r="J1" s="530"/>
      <c r="K1" s="530"/>
      <c r="L1" s="530"/>
      <c r="M1" s="530"/>
      <c r="N1" s="574"/>
      <c r="O1" s="574"/>
      <c r="P1" s="574"/>
      <c r="Q1" s="574"/>
      <c r="R1" s="574"/>
      <c r="S1" s="581"/>
      <c r="T1" s="581"/>
      <c r="U1" s="581"/>
      <c r="V1" s="581"/>
      <c r="W1" s="581"/>
      <c r="X1" s="581"/>
      <c r="Y1" s="581"/>
      <c r="Z1" s="581"/>
      <c r="AA1" s="581"/>
      <c r="AB1" s="581"/>
      <c r="AC1" s="581"/>
    </row>
    <row r="2" spans="1:29" s="3" customFormat="1" ht="27.75" customHeight="1">
      <c r="A2" s="674" t="s">
        <v>1261</v>
      </c>
      <c r="B2" s="740"/>
      <c r="C2" s="675"/>
      <c r="D2" s="675"/>
      <c r="E2" s="675"/>
      <c r="F2" s="676"/>
      <c r="G2" s="677"/>
      <c r="H2" s="678"/>
      <c r="I2" s="950"/>
      <c r="J2" s="282"/>
      <c r="K2" s="282"/>
      <c r="L2" s="282"/>
      <c r="M2" s="949" t="str">
        <f>About!D2</f>
        <v>Version 4 - Public</v>
      </c>
      <c r="N2" s="623"/>
      <c r="O2" s="574"/>
      <c r="P2" s="574"/>
      <c r="Q2" s="611"/>
      <c r="R2" s="611"/>
      <c r="S2" s="611"/>
      <c r="T2" s="611"/>
      <c r="U2" s="611"/>
      <c r="V2" s="611"/>
      <c r="W2" s="611"/>
      <c r="X2" s="611"/>
      <c r="Y2" s="611"/>
      <c r="Z2" s="611"/>
      <c r="AA2" s="611"/>
      <c r="AB2" s="611"/>
      <c r="AC2" s="611"/>
    </row>
    <row r="3" spans="1:29" s="623" customFormat="1" ht="28.5" customHeight="1">
      <c r="A3" s="808" t="s">
        <v>1262</v>
      </c>
      <c r="B3" s="29"/>
      <c r="C3" s="704"/>
      <c r="D3" s="705"/>
      <c r="E3" s="705"/>
      <c r="F3" s="705"/>
      <c r="G3" s="705"/>
      <c r="H3" s="705"/>
      <c r="I3" s="706"/>
    </row>
    <row r="4" spans="1:29" s="2" customFormat="1" ht="15" customHeight="1">
      <c r="A4" s="683" t="s">
        <v>1072</v>
      </c>
      <c r="B4" s="681"/>
      <c r="C4" s="680"/>
      <c r="D4" s="681"/>
      <c r="E4" s="681"/>
      <c r="F4" s="681"/>
      <c r="G4" s="684"/>
      <c r="H4" s="705"/>
      <c r="I4" s="706"/>
      <c r="J4"/>
      <c r="K4"/>
      <c r="L4"/>
      <c r="M4"/>
      <c r="N4" s="574"/>
      <c r="O4" s="574"/>
      <c r="P4" s="574"/>
      <c r="Q4" s="574"/>
      <c r="R4" s="574"/>
      <c r="S4" s="574"/>
      <c r="T4" s="574"/>
      <c r="U4" s="574"/>
      <c r="V4" s="574"/>
      <c r="W4" s="574"/>
      <c r="X4" s="574"/>
      <c r="Y4" s="574"/>
      <c r="Z4" s="574"/>
      <c r="AA4" s="574"/>
      <c r="AB4" s="574"/>
      <c r="AC4" s="574"/>
    </row>
    <row r="5" spans="1:29" s="2" customFormat="1" ht="15" customHeight="1">
      <c r="A5" s="685" t="s">
        <v>1299</v>
      </c>
      <c r="B5" s="681"/>
      <c r="C5" s="680"/>
      <c r="D5" s="681"/>
      <c r="E5" s="681"/>
      <c r="F5" s="681"/>
      <c r="G5" s="684"/>
      <c r="H5" s="684"/>
      <c r="I5" s="682"/>
      <c r="J5" s="574"/>
      <c r="K5" s="574"/>
      <c r="L5" s="646"/>
      <c r="M5" s="646"/>
      <c r="N5" s="574"/>
      <c r="O5" s="574"/>
      <c r="P5" s="574"/>
      <c r="Q5" s="574"/>
      <c r="R5" s="574"/>
      <c r="S5" s="574"/>
      <c r="T5" s="574"/>
      <c r="U5" s="574"/>
      <c r="V5" s="574"/>
      <c r="W5" s="574"/>
      <c r="X5" s="574"/>
      <c r="Y5" s="574"/>
      <c r="Z5" s="574"/>
      <c r="AA5" s="574"/>
      <c r="AB5" s="574"/>
      <c r="AC5" s="574"/>
    </row>
    <row r="6" spans="1:29" s="2" customFormat="1" ht="40.5" customHeight="1">
      <c r="A6" s="846" t="s">
        <v>1248</v>
      </c>
      <c r="B6" s="845"/>
      <c r="C6" s="845"/>
      <c r="D6" s="845"/>
      <c r="E6" s="845"/>
      <c r="F6" s="845"/>
      <c r="G6" s="845"/>
      <c r="H6" s="684"/>
      <c r="I6" s="682"/>
      <c r="J6" s="574"/>
      <c r="K6" s="574"/>
      <c r="L6" s="646"/>
      <c r="M6" s="646"/>
      <c r="N6" s="574"/>
      <c r="O6" s="574"/>
      <c r="P6" s="574"/>
      <c r="Q6" s="574"/>
      <c r="R6" s="574"/>
      <c r="S6" s="574"/>
      <c r="T6" s="574"/>
      <c r="U6" s="574"/>
      <c r="V6" s="574"/>
      <c r="W6" s="574"/>
      <c r="X6" s="574"/>
      <c r="Y6" s="574"/>
      <c r="Z6" s="574"/>
      <c r="AA6" s="574"/>
      <c r="AB6" s="574"/>
      <c r="AC6" s="574"/>
    </row>
    <row r="7" spans="1:29" s="2" customFormat="1" ht="17.25" customHeight="1">
      <c r="A7" s="747" t="s">
        <v>1253</v>
      </c>
      <c r="B7" s="845"/>
      <c r="C7" s="845"/>
      <c r="D7" s="845"/>
      <c r="E7" s="845"/>
      <c r="F7" s="845"/>
      <c r="G7" s="845"/>
      <c r="H7" s="684"/>
      <c r="I7" s="682"/>
      <c r="J7" s="574"/>
      <c r="K7" s="574"/>
      <c r="L7" s="646"/>
      <c r="M7" s="646"/>
      <c r="N7" s="574"/>
      <c r="O7" s="574"/>
      <c r="P7" s="574"/>
      <c r="Q7" s="574"/>
      <c r="R7" s="574"/>
      <c r="S7" s="574"/>
      <c r="T7" s="574"/>
      <c r="U7" s="574"/>
      <c r="V7" s="574"/>
      <c r="W7" s="574"/>
      <c r="X7" s="574"/>
      <c r="Y7" s="574"/>
      <c r="Z7" s="574"/>
      <c r="AA7" s="574"/>
      <c r="AB7" s="574"/>
      <c r="AC7" s="574"/>
    </row>
    <row r="8" spans="1:29" s="2" customFormat="1" ht="17.25" customHeight="1">
      <c r="A8" s="747" t="s">
        <v>1168</v>
      </c>
      <c r="B8" s="845"/>
      <c r="C8" s="845"/>
      <c r="D8" s="845"/>
      <c r="E8" s="845"/>
      <c r="F8" s="845"/>
      <c r="G8" s="845"/>
      <c r="H8" s="684"/>
      <c r="I8" s="682"/>
      <c r="J8" s="574"/>
      <c r="K8" s="574"/>
      <c r="L8" s="646"/>
      <c r="M8" s="646"/>
      <c r="N8" s="574"/>
      <c r="O8" s="574"/>
      <c r="P8" s="574"/>
      <c r="Q8" s="574"/>
      <c r="R8" s="574"/>
      <c r="S8" s="574"/>
      <c r="T8" s="574"/>
      <c r="U8" s="574"/>
      <c r="V8" s="574"/>
      <c r="W8" s="574"/>
      <c r="X8" s="574"/>
      <c r="Y8" s="574"/>
      <c r="Z8" s="574"/>
      <c r="AA8" s="574"/>
      <c r="AB8" s="574"/>
      <c r="AC8" s="574"/>
    </row>
    <row r="9" spans="1:29" s="2" customFormat="1" ht="6" customHeight="1">
      <c r="A9" s="683"/>
      <c r="B9" s="681"/>
      <c r="C9" s="680"/>
      <c r="D9" s="681"/>
      <c r="E9" s="681"/>
      <c r="F9" s="681"/>
      <c r="G9" s="684"/>
      <c r="H9" s="684"/>
      <c r="I9" s="682"/>
      <c r="J9" s="574"/>
      <c r="K9" s="574"/>
      <c r="L9" s="646"/>
      <c r="M9" s="646"/>
      <c r="N9" s="574"/>
      <c r="O9" s="574"/>
      <c r="P9" s="574"/>
      <c r="Q9" s="574"/>
      <c r="R9" s="574"/>
      <c r="S9" s="574"/>
      <c r="T9" s="574"/>
      <c r="U9" s="574"/>
      <c r="V9" s="574"/>
      <c r="W9" s="574"/>
      <c r="X9" s="574"/>
      <c r="Y9" s="574"/>
      <c r="Z9" s="574"/>
      <c r="AA9" s="574"/>
      <c r="AB9" s="574"/>
      <c r="AC9" s="574"/>
    </row>
    <row r="10" spans="1:29" s="2" customFormat="1" ht="15" customHeight="1">
      <c r="A10" s="685" t="s">
        <v>1335</v>
      </c>
      <c r="B10" s="670"/>
      <c r="C10" s="680"/>
      <c r="D10" s="681"/>
      <c r="E10" s="681"/>
      <c r="F10" s="681"/>
      <c r="G10" s="684"/>
      <c r="H10" s="684"/>
      <c r="I10" s="682"/>
      <c r="J10" s="574"/>
      <c r="K10" s="574"/>
      <c r="L10" s="646"/>
      <c r="M10" s="646"/>
      <c r="N10" s="574"/>
      <c r="O10" s="574"/>
      <c r="P10" s="574"/>
      <c r="Q10" s="574"/>
      <c r="R10" s="574"/>
      <c r="S10" s="574"/>
      <c r="T10" s="574"/>
      <c r="U10" s="574"/>
      <c r="V10" s="574"/>
      <c r="W10" s="574"/>
      <c r="X10" s="574"/>
      <c r="Y10" s="574"/>
      <c r="Z10" s="574"/>
      <c r="AA10" s="574"/>
      <c r="AB10" s="574"/>
      <c r="AC10" s="574"/>
    </row>
    <row r="11" spans="1:29" s="2" customFormat="1" ht="47.25" customHeight="1">
      <c r="A11" s="3119" t="s">
        <v>915</v>
      </c>
      <c r="B11" s="3120"/>
      <c r="C11" s="3120"/>
      <c r="D11" s="3120"/>
      <c r="E11" s="3120"/>
      <c r="F11" s="3120"/>
      <c r="G11" s="3120"/>
      <c r="H11" s="686"/>
      <c r="I11" s="682"/>
      <c r="J11" s="574"/>
      <c r="K11" s="574"/>
      <c r="L11" s="647"/>
      <c r="M11" s="647"/>
      <c r="N11" s="647"/>
      <c r="O11" s="647"/>
      <c r="P11" s="647"/>
      <c r="Q11" s="574"/>
      <c r="R11" s="574"/>
      <c r="S11" s="574"/>
      <c r="T11" s="574"/>
      <c r="U11" s="574"/>
      <c r="V11" s="574"/>
      <c r="W11" s="574"/>
      <c r="X11" s="574"/>
      <c r="Y11" s="574"/>
      <c r="Z11" s="574"/>
      <c r="AA11" s="574"/>
      <c r="AB11" s="574"/>
      <c r="AC11" s="574"/>
    </row>
    <row r="12" spans="1:29" s="2" customFormat="1" ht="32.25" customHeight="1">
      <c r="A12" s="3119" t="s">
        <v>1333</v>
      </c>
      <c r="B12" s="3120"/>
      <c r="C12" s="3120"/>
      <c r="D12" s="3120"/>
      <c r="E12" s="3120"/>
      <c r="F12" s="3120"/>
      <c r="G12" s="3120"/>
      <c r="H12" s="684"/>
      <c r="I12" s="682"/>
      <c r="J12" s="574"/>
      <c r="K12" s="574"/>
      <c r="L12" s="646"/>
      <c r="M12" s="646"/>
      <c r="N12" s="574"/>
      <c r="O12" s="574"/>
      <c r="P12" s="574"/>
      <c r="Q12" s="574"/>
      <c r="R12" s="574"/>
      <c r="S12" s="574"/>
      <c r="T12" s="574"/>
      <c r="U12" s="574"/>
      <c r="V12" s="574"/>
      <c r="W12" s="574"/>
      <c r="X12" s="574"/>
      <c r="Y12" s="574"/>
      <c r="Z12" s="574"/>
      <c r="AA12" s="574"/>
      <c r="AB12" s="574"/>
      <c r="AC12" s="574"/>
    </row>
    <row r="13" spans="1:29" s="2" customFormat="1" ht="25.5" customHeight="1">
      <c r="A13" s="3119" t="s">
        <v>1334</v>
      </c>
      <c r="B13" s="3120"/>
      <c r="C13" s="3120"/>
      <c r="D13" s="3120"/>
      <c r="E13" s="3120"/>
      <c r="F13" s="3120"/>
      <c r="G13" s="3120"/>
      <c r="H13" s="684"/>
      <c r="I13" s="682"/>
      <c r="J13" s="574"/>
      <c r="K13" s="574"/>
      <c r="L13" s="646"/>
      <c r="M13" s="646"/>
      <c r="N13" s="574"/>
      <c r="O13" s="574"/>
      <c r="P13" s="574"/>
      <c r="Q13" s="574"/>
      <c r="R13" s="574"/>
      <c r="S13" s="574"/>
      <c r="T13" s="574"/>
      <c r="U13" s="574"/>
      <c r="V13" s="574"/>
      <c r="W13" s="574"/>
      <c r="X13" s="574"/>
      <c r="Y13" s="574"/>
      <c r="Z13" s="574"/>
      <c r="AA13" s="574"/>
      <c r="AB13" s="574"/>
      <c r="AC13" s="574"/>
    </row>
    <row r="14" spans="1:29" s="623" customFormat="1" ht="39" customHeight="1">
      <c r="A14" s="3121" t="s">
        <v>1169</v>
      </c>
      <c r="B14" s="3122"/>
      <c r="C14" s="3122"/>
      <c r="D14" s="3122"/>
      <c r="E14" s="3122"/>
      <c r="F14" s="3122"/>
      <c r="G14" s="3122"/>
      <c r="H14" s="687"/>
      <c r="I14" s="688"/>
      <c r="J14" s="574"/>
      <c r="K14" s="574"/>
      <c r="L14" s="574"/>
      <c r="M14" s="574"/>
      <c r="N14" s="574"/>
      <c r="O14" s="574"/>
      <c r="P14" s="574"/>
      <c r="Q14" s="574"/>
      <c r="R14" s="574"/>
      <c r="S14" s="574"/>
      <c r="T14" s="574"/>
      <c r="U14" s="574"/>
      <c r="V14" s="574"/>
      <c r="W14" s="574"/>
      <c r="X14" s="574"/>
      <c r="Y14" s="574"/>
      <c r="Z14" s="574"/>
      <c r="AA14" s="574"/>
      <c r="AB14" s="574"/>
      <c r="AC14" s="574"/>
    </row>
    <row r="15" spans="1:29" s="3" customFormat="1" ht="15.75" customHeight="1">
      <c r="A15" s="606"/>
      <c r="B15" s="606"/>
      <c r="C15" s="607"/>
      <c r="D15" s="608"/>
      <c r="E15" s="608"/>
      <c r="F15" s="608"/>
      <c r="G15" s="609"/>
      <c r="H15" s="610"/>
      <c r="I15" s="611"/>
      <c r="J15" s="612"/>
      <c r="K15" s="610"/>
      <c r="L15" s="611"/>
      <c r="M15" s="612"/>
      <c r="N15" s="574"/>
      <c r="O15" s="574"/>
      <c r="P15" s="574"/>
      <c r="Q15" s="611"/>
      <c r="R15" s="611"/>
      <c r="S15" s="611"/>
      <c r="T15" s="611"/>
      <c r="U15" s="611"/>
      <c r="V15" s="611"/>
      <c r="W15" s="611"/>
      <c r="X15" s="611"/>
      <c r="Y15" s="611"/>
      <c r="Z15" s="611"/>
      <c r="AA15" s="611"/>
      <c r="AB15" s="611"/>
      <c r="AC15" s="611"/>
    </row>
    <row r="16" spans="1:29" s="613" customFormat="1" ht="20.25" customHeight="1">
      <c r="A16" s="703" t="s">
        <v>1020</v>
      </c>
      <c r="B16" s="741"/>
      <c r="C16" s="665"/>
      <c r="D16" s="665"/>
      <c r="E16" s="666"/>
      <c r="F16" s="665"/>
      <c r="G16" s="665"/>
      <c r="H16" s="665"/>
      <c r="I16" s="667"/>
      <c r="J16" s="642"/>
      <c r="K16" s="642"/>
      <c r="L16" s="642"/>
      <c r="M16" s="642"/>
      <c r="N16" s="642"/>
      <c r="O16" s="642"/>
      <c r="P16" s="642"/>
      <c r="Q16" s="642"/>
      <c r="R16" s="642"/>
      <c r="S16" s="642"/>
      <c r="T16" s="642"/>
      <c r="U16" s="642"/>
      <c r="V16" s="642"/>
      <c r="W16" s="642"/>
      <c r="X16" s="642"/>
      <c r="Y16" s="642"/>
      <c r="Z16" s="642"/>
      <c r="AA16" s="642"/>
      <c r="AB16" s="642"/>
      <c r="AC16" s="642"/>
    </row>
    <row r="17" spans="1:29" s="613" customFormat="1" ht="27" customHeight="1">
      <c r="A17" s="802" t="s">
        <v>1021</v>
      </c>
      <c r="B17" s="743"/>
      <c r="C17" s="717"/>
      <c r="D17" s="717"/>
      <c r="E17" s="717"/>
      <c r="F17" s="717"/>
      <c r="G17" s="717"/>
      <c r="H17" s="717"/>
      <c r="I17" s="722"/>
      <c r="J17" s="642"/>
      <c r="K17" s="642"/>
      <c r="L17" s="642"/>
      <c r="M17" s="642"/>
      <c r="N17" s="642"/>
      <c r="O17" s="642"/>
      <c r="P17" s="642"/>
      <c r="Q17" s="642"/>
      <c r="R17" s="642"/>
      <c r="S17" s="642"/>
      <c r="T17" s="642"/>
      <c r="U17" s="642"/>
      <c r="V17" s="642"/>
      <c r="W17" s="642"/>
      <c r="X17" s="642"/>
      <c r="Y17" s="642"/>
      <c r="Z17" s="642"/>
      <c r="AA17" s="642"/>
      <c r="AB17" s="642"/>
      <c r="AC17" s="642"/>
    </row>
    <row r="18" spans="1:29" s="613" customFormat="1" ht="15.75" customHeight="1">
      <c r="A18" s="752" t="s">
        <v>1254</v>
      </c>
      <c r="B18" s="670"/>
      <c r="C18" s="807"/>
      <c r="D18" s="689"/>
      <c r="E18" s="689"/>
      <c r="F18" s="689"/>
      <c r="G18" s="790"/>
      <c r="H18" s="689"/>
      <c r="I18" s="690"/>
      <c r="J18" s="642"/>
      <c r="K18" s="818" t="s">
        <v>1295</v>
      </c>
      <c r="L18" s="776"/>
      <c r="M18" s="776"/>
      <c r="N18" s="776"/>
      <c r="O18" s="776"/>
      <c r="P18" s="776"/>
      <c r="Q18" s="776"/>
      <c r="R18" s="776"/>
      <c r="S18" s="776" t="s">
        <v>1281</v>
      </c>
      <c r="T18" s="776" t="s">
        <v>1282</v>
      </c>
      <c r="U18" s="776" t="s">
        <v>1285</v>
      </c>
      <c r="V18" s="780" t="s">
        <v>1286</v>
      </c>
      <c r="W18" s="642"/>
      <c r="X18" s="642"/>
      <c r="Y18" s="642"/>
      <c r="Z18" s="642"/>
      <c r="AA18" s="642"/>
      <c r="AB18" s="642"/>
      <c r="AC18" s="642"/>
    </row>
    <row r="19" spans="1:29" s="650" customFormat="1" ht="63.75" customHeight="1">
      <c r="A19" s="805"/>
      <c r="B19" s="742" t="s">
        <v>1022</v>
      </c>
      <c r="C19" s="736" t="s">
        <v>1346</v>
      </c>
      <c r="D19" s="691"/>
      <c r="E19" s="668"/>
      <c r="F19" s="815" t="s">
        <v>1256</v>
      </c>
      <c r="G19" s="816"/>
      <c r="H19" s="668"/>
      <c r="I19" s="692"/>
      <c r="J19" s="671"/>
      <c r="K19" s="727" t="s">
        <v>1346</v>
      </c>
      <c r="L19" s="696" t="s">
        <v>1440</v>
      </c>
      <c r="M19" s="696" t="s">
        <v>1435</v>
      </c>
      <c r="N19" s="696" t="s">
        <v>1424</v>
      </c>
      <c r="O19" s="696" t="s">
        <v>1416</v>
      </c>
      <c r="P19" s="696" t="s">
        <v>898</v>
      </c>
      <c r="Q19" s="696" t="s">
        <v>1445</v>
      </c>
      <c r="R19" s="696" t="s">
        <v>1023</v>
      </c>
      <c r="S19" s="860"/>
      <c r="T19" s="860"/>
      <c r="U19" s="860"/>
      <c r="V19" s="861"/>
      <c r="W19" s="648"/>
      <c r="X19" s="648"/>
      <c r="Y19" s="648"/>
      <c r="Z19" s="648"/>
      <c r="AA19" s="648"/>
      <c r="AB19" s="648"/>
      <c r="AC19" s="648"/>
    </row>
    <row r="20" spans="1:29" s="34" customFormat="1" ht="15.75">
      <c r="A20" s="715"/>
      <c r="B20" s="709" t="s">
        <v>1024</v>
      </c>
      <c r="C20" s="870">
        <v>68860</v>
      </c>
      <c r="D20" s="693" t="s">
        <v>860</v>
      </c>
      <c r="E20" s="669"/>
      <c r="F20" s="902" t="s">
        <v>1220</v>
      </c>
      <c r="G20" s="903" t="s">
        <v>1257</v>
      </c>
      <c r="H20" s="668"/>
      <c r="I20" s="694"/>
      <c r="J20" s="651"/>
      <c r="K20" s="749"/>
      <c r="L20" s="750"/>
      <c r="M20" s="750"/>
      <c r="N20" s="750"/>
      <c r="O20" s="750"/>
      <c r="P20" s="750"/>
      <c r="Q20" s="750"/>
      <c r="R20" s="750"/>
      <c r="S20" s="750"/>
      <c r="T20" s="750"/>
      <c r="U20" s="750"/>
      <c r="V20" s="751"/>
      <c r="W20" s="641"/>
      <c r="X20" s="641"/>
      <c r="Y20" s="641"/>
      <c r="Z20" s="641"/>
      <c r="AA20" s="641"/>
      <c r="AB20" s="641"/>
      <c r="AC20" s="641"/>
    </row>
    <row r="21" spans="1:29" s="34" customFormat="1">
      <c r="A21" s="715"/>
      <c r="B21" s="709" t="s">
        <v>1025</v>
      </c>
      <c r="C21" s="737">
        <v>0.75</v>
      </c>
      <c r="D21" s="673"/>
      <c r="E21" s="669"/>
      <c r="F21" s="904" t="s">
        <v>1221</v>
      </c>
      <c r="G21" s="905" t="s">
        <v>1258</v>
      </c>
      <c r="H21" s="668"/>
      <c r="I21" s="694"/>
      <c r="J21" s="651"/>
      <c r="K21" s="651"/>
      <c r="L21" s="641"/>
      <c r="M21" s="641"/>
      <c r="N21" s="641"/>
      <c r="O21" s="641"/>
      <c r="P21" s="641"/>
      <c r="Q21" s="641"/>
      <c r="R21" s="641"/>
      <c r="S21" s="641"/>
      <c r="T21" s="641"/>
      <c r="U21" s="641"/>
      <c r="V21" s="641"/>
      <c r="W21" s="641"/>
      <c r="X21" s="641"/>
      <c r="Y21" s="641"/>
      <c r="Z21" s="641"/>
      <c r="AA21" s="641"/>
      <c r="AB21" s="641"/>
      <c r="AC21" s="641"/>
    </row>
    <row r="22" spans="1:29" s="34" customFormat="1" ht="15.75">
      <c r="A22" s="715"/>
      <c r="B22" s="709" t="s">
        <v>1026</v>
      </c>
      <c r="C22" s="672">
        <f>C20*(1-C21)</f>
        <v>17215</v>
      </c>
      <c r="D22" s="693" t="s">
        <v>861</v>
      </c>
      <c r="E22" s="670"/>
      <c r="F22" s="904" t="s">
        <v>1222</v>
      </c>
      <c r="G22" s="905" t="s">
        <v>1259</v>
      </c>
      <c r="H22" s="668"/>
      <c r="I22" s="695"/>
      <c r="J22" s="641"/>
      <c r="K22" s="641"/>
      <c r="L22" s="641"/>
      <c r="M22" s="641"/>
      <c r="N22" s="641"/>
      <c r="O22" s="641"/>
      <c r="P22" s="641"/>
      <c r="Q22" s="641"/>
      <c r="R22" s="641"/>
      <c r="S22" s="641"/>
      <c r="T22" s="641"/>
      <c r="U22" s="641"/>
      <c r="V22" s="641"/>
      <c r="W22" s="641"/>
      <c r="X22" s="641"/>
      <c r="Y22" s="641"/>
      <c r="Z22" s="641"/>
      <c r="AA22" s="641"/>
      <c r="AB22" s="641"/>
      <c r="AC22" s="641"/>
    </row>
    <row r="23" spans="1:29" s="34" customFormat="1" ht="15.75">
      <c r="A23" s="715"/>
      <c r="B23" s="709" t="str">
        <f>IF(C19&lt;&gt;"Palm","Straw yield (removed from the field)","")</f>
        <v>Straw yield (removed from the field)</v>
      </c>
      <c r="C23" s="736"/>
      <c r="D23" s="693" t="str">
        <f>IF(C19&lt;&gt;"Palm","kg dm/ha/year","")</f>
        <v>kg dm/ha/year</v>
      </c>
      <c r="E23" s="670"/>
      <c r="F23" s="906" t="s">
        <v>1263</v>
      </c>
      <c r="G23" s="907" t="s">
        <v>1260</v>
      </c>
      <c r="H23" s="668"/>
      <c r="I23" s="695"/>
      <c r="J23" s="641"/>
      <c r="K23" s="641"/>
      <c r="L23" s="641"/>
      <c r="M23" s="641"/>
      <c r="N23" s="641"/>
      <c r="O23" s="641"/>
      <c r="P23" s="641"/>
      <c r="Q23" s="641"/>
      <c r="R23" s="641"/>
      <c r="S23" s="641"/>
      <c r="T23" s="641"/>
      <c r="U23" s="641"/>
      <c r="V23" s="641"/>
      <c r="W23" s="641"/>
      <c r="X23" s="641"/>
      <c r="Y23" s="641"/>
      <c r="Z23" s="641"/>
      <c r="AA23" s="641"/>
      <c r="AB23" s="641"/>
      <c r="AC23" s="641"/>
    </row>
    <row r="24" spans="1:29" s="652" customFormat="1">
      <c r="A24" s="715"/>
      <c r="B24" s="709"/>
      <c r="C24" s="696"/>
      <c r="D24" s="693"/>
      <c r="E24" s="697"/>
      <c r="F24" s="697"/>
      <c r="G24" s="819"/>
      <c r="H24" s="668"/>
      <c r="I24" s="698"/>
      <c r="J24" s="649"/>
      <c r="K24" s="649"/>
      <c r="L24" s="649"/>
      <c r="M24" s="649"/>
      <c r="N24" s="649"/>
      <c r="O24" s="649"/>
      <c r="P24" s="649"/>
      <c r="Q24" s="649"/>
      <c r="R24" s="649"/>
      <c r="S24" s="649"/>
      <c r="T24" s="649"/>
      <c r="U24" s="649"/>
      <c r="V24" s="649"/>
      <c r="W24" s="649"/>
      <c r="X24" s="649"/>
      <c r="Y24" s="649"/>
      <c r="Z24" s="649"/>
      <c r="AA24" s="649"/>
      <c r="AB24" s="649"/>
      <c r="AC24" s="649"/>
    </row>
    <row r="25" spans="1:29" s="34" customFormat="1" ht="40.5" customHeight="1">
      <c r="A25" s="739"/>
      <c r="B25" s="709" t="s">
        <v>1267</v>
      </c>
      <c r="C25" s="736" t="s">
        <v>747</v>
      </c>
      <c r="D25" s="789"/>
      <c r="E25" s="3117" t="s">
        <v>886</v>
      </c>
      <c r="F25" s="3117"/>
      <c r="G25" s="3117"/>
      <c r="H25" s="3117"/>
      <c r="I25" s="3118"/>
      <c r="J25" s="641"/>
      <c r="K25" s="881" t="s">
        <v>1181</v>
      </c>
      <c r="L25" s="881" t="s">
        <v>747</v>
      </c>
      <c r="M25" s="881" t="s">
        <v>748</v>
      </c>
      <c r="N25" s="641"/>
      <c r="O25" s="641"/>
      <c r="P25" s="641"/>
      <c r="Q25" s="641"/>
      <c r="R25" s="641"/>
      <c r="S25" s="641"/>
      <c r="T25" s="641"/>
      <c r="U25" s="641"/>
      <c r="V25" s="641"/>
      <c r="W25" s="641"/>
      <c r="X25" s="641"/>
      <c r="Y25" s="641"/>
      <c r="Z25" s="641"/>
      <c r="AA25" s="641"/>
      <c r="AB25" s="641"/>
      <c r="AC25" s="641"/>
    </row>
    <row r="26" spans="1:29" s="34" customFormat="1" ht="18.75" customHeight="1">
      <c r="A26" s="702"/>
      <c r="B26" s="801"/>
      <c r="C26" s="670"/>
      <c r="D26" s="670"/>
      <c r="E26" s="844" t="s">
        <v>1268</v>
      </c>
      <c r="F26" s="670"/>
      <c r="G26" s="670"/>
      <c r="H26" s="670"/>
      <c r="I26" s="817"/>
      <c r="J26" s="641"/>
      <c r="K26" s="641"/>
      <c r="L26" s="641"/>
      <c r="M26" s="641"/>
      <c r="N26" s="641"/>
      <c r="O26" s="641"/>
      <c r="P26" s="641"/>
      <c r="Q26" s="641"/>
      <c r="R26" s="641"/>
      <c r="S26" s="641"/>
      <c r="T26" s="641"/>
      <c r="U26" s="641"/>
      <c r="V26" s="641"/>
      <c r="W26" s="641"/>
      <c r="X26" s="641"/>
      <c r="Y26" s="641"/>
      <c r="Z26" s="641"/>
      <c r="AA26" s="641"/>
      <c r="AB26" s="641"/>
      <c r="AC26" s="641"/>
    </row>
    <row r="27" spans="1:29" s="34" customFormat="1" ht="18.75" customHeight="1">
      <c r="A27" s="812" t="s">
        <v>1307</v>
      </c>
      <c r="B27" s="872"/>
      <c r="C27" s="743"/>
      <c r="D27" s="743"/>
      <c r="E27" s="873"/>
      <c r="F27" s="743"/>
      <c r="G27" s="743"/>
      <c r="H27" s="743"/>
      <c r="I27" s="874"/>
      <c r="J27" s="641"/>
      <c r="K27" s="641"/>
      <c r="L27" s="641"/>
      <c r="M27" s="641"/>
      <c r="N27" s="641"/>
      <c r="O27" s="641"/>
      <c r="P27" s="641"/>
      <c r="Q27" s="641"/>
      <c r="R27" s="641"/>
      <c r="S27" s="641"/>
      <c r="T27" s="641"/>
      <c r="U27" s="641"/>
      <c r="V27" s="641"/>
      <c r="W27" s="641"/>
      <c r="X27" s="641"/>
      <c r="Y27" s="641"/>
      <c r="Z27" s="641"/>
      <c r="AA27" s="641"/>
      <c r="AB27" s="641"/>
      <c r="AC27" s="641"/>
    </row>
    <row r="28" spans="1:29" s="34" customFormat="1" ht="18.75" customHeight="1">
      <c r="A28" s="702"/>
      <c r="B28" s="709" t="s">
        <v>1303</v>
      </c>
      <c r="C28" s="879" t="s">
        <v>1202</v>
      </c>
      <c r="D28" s="670"/>
      <c r="E28" s="844"/>
      <c r="F28" s="670" t="s">
        <v>1310</v>
      </c>
      <c r="G28" s="670"/>
      <c r="H28" s="670"/>
      <c r="I28" s="817"/>
      <c r="J28" s="882" t="s">
        <v>1202</v>
      </c>
      <c r="K28" s="881" t="s">
        <v>1305</v>
      </c>
      <c r="L28" s="881" t="s">
        <v>1304</v>
      </c>
      <c r="M28" s="881" t="s">
        <v>1306</v>
      </c>
      <c r="N28" s="881" t="s">
        <v>1308</v>
      </c>
      <c r="O28" s="881" t="s">
        <v>1309</v>
      </c>
      <c r="P28" s="641"/>
      <c r="Q28" s="641"/>
      <c r="R28" s="641"/>
      <c r="S28" s="641"/>
      <c r="T28" s="641"/>
      <c r="U28" s="641"/>
      <c r="V28" s="641"/>
      <c r="W28" s="641"/>
      <c r="X28" s="641"/>
      <c r="Y28" s="641"/>
      <c r="Z28" s="641"/>
      <c r="AA28" s="641"/>
      <c r="AB28" s="641"/>
      <c r="AC28" s="641"/>
    </row>
    <row r="29" spans="1:29" s="34" customFormat="1">
      <c r="A29" s="715"/>
      <c r="B29" s="709" t="s">
        <v>1027</v>
      </c>
      <c r="C29" s="736">
        <v>0</v>
      </c>
      <c r="D29" s="693" t="s">
        <v>1301</v>
      </c>
      <c r="E29" s="670"/>
      <c r="F29" s="878" t="s">
        <v>1302</v>
      </c>
      <c r="G29" s="670"/>
      <c r="H29" s="670"/>
      <c r="I29" s="695"/>
      <c r="J29" s="641"/>
      <c r="K29" s="641"/>
      <c r="L29" s="641"/>
      <c r="M29" s="641"/>
      <c r="N29" s="641"/>
      <c r="O29" s="641"/>
      <c r="P29" s="641"/>
      <c r="Q29" s="641"/>
      <c r="R29" s="641"/>
      <c r="S29" s="641"/>
      <c r="T29" s="641"/>
      <c r="U29" s="641"/>
      <c r="V29" s="641"/>
      <c r="W29" s="641"/>
      <c r="X29" s="641"/>
      <c r="Y29" s="641"/>
      <c r="Z29" s="641"/>
      <c r="AA29" s="641"/>
      <c r="AB29" s="641"/>
      <c r="AC29" s="641"/>
    </row>
    <row r="30" spans="1:29" s="34" customFormat="1" ht="23.25" customHeight="1">
      <c r="A30" s="875"/>
      <c r="B30" s="876"/>
      <c r="C30" s="700"/>
      <c r="D30" s="700"/>
      <c r="E30" s="700"/>
      <c r="F30" s="880" t="s">
        <v>1203</v>
      </c>
      <c r="G30" s="700"/>
      <c r="H30" s="700"/>
      <c r="I30" s="877"/>
      <c r="J30" s="641"/>
      <c r="K30" s="641"/>
      <c r="L30" s="641"/>
      <c r="M30" s="641"/>
      <c r="N30" s="641"/>
      <c r="O30" s="641"/>
      <c r="P30" s="641"/>
      <c r="Q30" s="641"/>
      <c r="R30" s="641"/>
      <c r="S30" s="641"/>
      <c r="T30" s="641"/>
      <c r="U30" s="641"/>
      <c r="V30" s="641"/>
      <c r="W30" s="641"/>
      <c r="X30" s="641"/>
      <c r="Y30" s="641"/>
      <c r="Z30" s="641"/>
      <c r="AA30" s="641"/>
      <c r="AB30" s="641"/>
      <c r="AC30" s="641"/>
    </row>
    <row r="31" spans="1:29" s="34" customFormat="1" ht="23.25" customHeight="1">
      <c r="A31" s="812" t="s">
        <v>1255</v>
      </c>
      <c r="B31" s="813"/>
      <c r="C31" s="847" t="s">
        <v>1290</v>
      </c>
      <c r="D31" s="814"/>
      <c r="E31" s="743"/>
      <c r="F31" s="743"/>
      <c r="G31" s="743"/>
      <c r="H31" s="760" t="s">
        <v>1265</v>
      </c>
      <c r="I31" s="755"/>
      <c r="J31" s="641"/>
      <c r="K31" s="641"/>
      <c r="L31" s="641"/>
      <c r="M31" s="641"/>
      <c r="N31" s="641"/>
      <c r="O31" s="641"/>
      <c r="P31" s="641"/>
      <c r="Q31" s="641"/>
      <c r="R31" s="641"/>
      <c r="S31" s="641"/>
      <c r="T31" s="641"/>
      <c r="U31" s="641"/>
      <c r="V31" s="641"/>
      <c r="W31" s="641"/>
      <c r="X31" s="641"/>
      <c r="Y31" s="641"/>
      <c r="Z31" s="641"/>
      <c r="AA31" s="641"/>
      <c r="AB31" s="641"/>
      <c r="AC31" s="641"/>
    </row>
    <row r="32" spans="1:29" s="34" customFormat="1" ht="13.5" customHeight="1">
      <c r="A32" s="806"/>
      <c r="B32" s="709"/>
      <c r="C32" s="807" t="s">
        <v>1266</v>
      </c>
      <c r="D32" s="693"/>
      <c r="E32" s="670"/>
      <c r="F32" s="670"/>
      <c r="G32" s="670"/>
      <c r="H32" s="696"/>
      <c r="I32" s="695"/>
      <c r="J32" s="641"/>
      <c r="K32" s="641"/>
      <c r="L32" s="641"/>
      <c r="M32" s="641"/>
      <c r="N32" s="641"/>
      <c r="O32" s="641"/>
      <c r="P32" s="641"/>
      <c r="Q32" s="641"/>
      <c r="R32" s="641"/>
      <c r="S32" s="641"/>
      <c r="T32" s="641"/>
      <c r="U32" s="641"/>
      <c r="V32" s="641"/>
      <c r="W32" s="641"/>
      <c r="X32" s="641"/>
      <c r="Y32" s="641"/>
      <c r="Z32" s="641"/>
      <c r="AA32" s="641"/>
      <c r="AB32" s="641"/>
      <c r="AC32" s="641"/>
    </row>
    <row r="33" spans="1:33" s="34" customFormat="1" ht="13.5" customHeight="1">
      <c r="A33" s="948" t="str">
        <f>IF(C19="Palm", "If palm :", "")</f>
        <v/>
      </c>
      <c r="B33" s="709"/>
      <c r="C33" s="807"/>
      <c r="D33" s="693"/>
      <c r="E33" s="670"/>
      <c r="F33" s="670"/>
      <c r="G33" s="670"/>
      <c r="H33" s="696"/>
      <c r="I33" s="695"/>
      <c r="J33" s="641"/>
      <c r="K33" s="641"/>
      <c r="L33" s="641"/>
      <c r="M33" s="641"/>
      <c r="N33" s="641"/>
      <c r="O33" s="641"/>
      <c r="P33" s="641"/>
      <c r="Q33" s="641"/>
      <c r="R33" s="641"/>
      <c r="S33" s="641"/>
      <c r="T33" s="641"/>
      <c r="U33" s="641"/>
      <c r="V33" s="641"/>
      <c r="W33" s="641"/>
      <c r="X33" s="641"/>
      <c r="Y33" s="641"/>
      <c r="Z33" s="641"/>
      <c r="AA33" s="641"/>
      <c r="AB33" s="641"/>
      <c r="AC33" s="641"/>
    </row>
    <row r="34" spans="1:33" s="652" customFormat="1" ht="15.75" customHeight="1">
      <c r="A34" s="747"/>
      <c r="B34" s="709" t="str">
        <f>IF(C19="Palm", "Amount of crop residue returned to the field:", "")</f>
        <v/>
      </c>
      <c r="C34" s="810"/>
      <c r="D34" s="693" t="str">
        <f>IF(C19="Palm","kg dm/kg wet FFB","")</f>
        <v/>
      </c>
      <c r="E34" s="697"/>
      <c r="F34" s="697"/>
      <c r="G34" s="697"/>
      <c r="H34" s="696" t="str">
        <f>IF(C19="palm", "RED used by default 0.22","")</f>
        <v/>
      </c>
      <c r="I34" s="698"/>
      <c r="J34" s="649"/>
      <c r="K34" s="649"/>
      <c r="L34" s="649"/>
      <c r="M34" s="649"/>
      <c r="N34" s="649"/>
      <c r="O34" s="649"/>
      <c r="P34" s="649"/>
      <c r="Q34" s="649"/>
      <c r="R34" s="649"/>
      <c r="S34" s="649"/>
      <c r="T34" s="649"/>
      <c r="U34" s="649"/>
      <c r="V34" s="649"/>
      <c r="W34" s="649"/>
      <c r="X34" s="649"/>
      <c r="Y34" s="649"/>
      <c r="Z34" s="649"/>
      <c r="AA34" s="649"/>
      <c r="AB34" s="649"/>
      <c r="AC34" s="649"/>
    </row>
    <row r="35" spans="1:33" s="652" customFormat="1" ht="15.75" customHeight="1">
      <c r="A35" s="727" t="str">
        <f>IF(C19="sugar cane","If sugar cane :","")</f>
        <v/>
      </c>
      <c r="B35" s="709"/>
      <c r="C35" s="696"/>
      <c r="D35" s="693"/>
      <c r="E35" s="697"/>
      <c r="F35" s="697"/>
      <c r="G35" s="697"/>
      <c r="H35" s="697"/>
      <c r="I35" s="698"/>
      <c r="J35" s="649"/>
      <c r="K35" s="649"/>
      <c r="L35" s="649"/>
      <c r="M35" s="649"/>
      <c r="N35" s="649"/>
      <c r="O35" s="649"/>
      <c r="P35" s="649"/>
      <c r="Q35" s="649"/>
      <c r="R35" s="649"/>
      <c r="S35" s="649"/>
      <c r="T35" s="649"/>
      <c r="U35" s="649"/>
      <c r="V35" s="649"/>
      <c r="W35" s="649"/>
      <c r="X35" s="649"/>
      <c r="Y35" s="649"/>
      <c r="Z35" s="649"/>
      <c r="AA35" s="649"/>
      <c r="AB35" s="649"/>
      <c r="AC35" s="649"/>
    </row>
    <row r="36" spans="1:33" s="652" customFormat="1">
      <c r="A36" s="747"/>
      <c r="B36" s="709" t="str">
        <f>IF(C19="sugar cane","Amount of vignasse applied to the field :","")</f>
        <v/>
      </c>
      <c r="C36" s="810"/>
      <c r="D36" s="693" t="str">
        <f>IF(C19="sugar cane","kg of vignasse dm/kg sucar cane fm","")</f>
        <v/>
      </c>
      <c r="E36" s="697"/>
      <c r="F36" s="697"/>
      <c r="G36" s="807"/>
      <c r="H36" s="696" t="str">
        <f>IF(C19="sugar cane", "RED used by default 0.94","")</f>
        <v/>
      </c>
      <c r="I36" s="698"/>
      <c r="J36" s="649"/>
      <c r="K36" s="649"/>
      <c r="L36" s="649"/>
      <c r="M36" s="649"/>
      <c r="N36" s="649"/>
      <c r="O36" s="649"/>
      <c r="P36" s="649"/>
      <c r="Q36" s="649"/>
      <c r="R36" s="649"/>
      <c r="S36" s="649"/>
      <c r="T36" s="649"/>
      <c r="U36" s="649"/>
      <c r="V36" s="649"/>
      <c r="W36" s="649"/>
      <c r="X36" s="649"/>
      <c r="Y36" s="649"/>
      <c r="Z36" s="649"/>
      <c r="AA36" s="649"/>
      <c r="AB36" s="649"/>
      <c r="AC36" s="649"/>
    </row>
    <row r="37" spans="1:33" s="652" customFormat="1">
      <c r="A37" s="715"/>
      <c r="B37" s="709" t="str">
        <f>IF(C19="sugar cane","Amount of filter cake applied to the field:","")</f>
        <v/>
      </c>
      <c r="C37" s="810"/>
      <c r="D37" s="693" t="str">
        <f>IF(C19="sugar cane","kg of filter cake dm/kg sugar cane fm","")</f>
        <v/>
      </c>
      <c r="E37" s="697"/>
      <c r="F37" s="697"/>
      <c r="G37" s="697"/>
      <c r="H37" s="696" t="str">
        <f>IF(C19="sugar cane", "RED used by default 0.01","")</f>
        <v/>
      </c>
      <c r="I37" s="698"/>
      <c r="J37" s="649"/>
      <c r="K37" s="649"/>
      <c r="L37" s="649"/>
      <c r="M37" s="649"/>
      <c r="N37" s="649"/>
      <c r="O37" s="649"/>
      <c r="P37" s="649"/>
      <c r="Q37" s="649"/>
      <c r="R37" s="649"/>
      <c r="S37" s="649"/>
      <c r="T37" s="649"/>
      <c r="U37" s="649"/>
      <c r="V37" s="649"/>
      <c r="W37" s="649"/>
      <c r="X37" s="649"/>
      <c r="Y37" s="649"/>
      <c r="Z37" s="649"/>
      <c r="AA37" s="649"/>
      <c r="AB37" s="649"/>
      <c r="AC37" s="649"/>
    </row>
    <row r="38" spans="1:33" s="652" customFormat="1">
      <c r="A38" s="715"/>
      <c r="B38" s="709" t="str">
        <f>IF(C19="sugar cane","N content of vignasse applied to the field:","")</f>
        <v/>
      </c>
      <c r="C38" s="810"/>
      <c r="D38" s="693" t="str">
        <f>IF(C19="sugar cane","kg N / t vignasse","")</f>
        <v/>
      </c>
      <c r="E38" s="697"/>
      <c r="F38" s="697"/>
      <c r="G38" s="697"/>
      <c r="H38" s="696" t="str">
        <f>IF(C19="sugar cane", "RED used by default 0.36","")</f>
        <v/>
      </c>
      <c r="I38" s="698"/>
      <c r="J38" s="649"/>
      <c r="K38" s="649"/>
      <c r="L38" s="649"/>
      <c r="M38" s="649"/>
      <c r="N38" s="649"/>
      <c r="O38" s="649"/>
      <c r="P38" s="649"/>
      <c r="Q38" s="649"/>
      <c r="R38" s="649"/>
      <c r="S38" s="649"/>
      <c r="T38" s="649"/>
      <c r="U38" s="649"/>
      <c r="V38" s="649"/>
      <c r="W38" s="649"/>
      <c r="X38" s="649"/>
      <c r="Y38" s="649"/>
      <c r="Z38" s="649"/>
      <c r="AA38" s="649"/>
      <c r="AB38" s="649"/>
      <c r="AC38" s="649"/>
    </row>
    <row r="39" spans="1:33" s="652" customFormat="1">
      <c r="A39" s="715"/>
      <c r="B39" s="709" t="str">
        <f>IF(C19="sugar cane","N content of filter cake applied to the field:","")</f>
        <v/>
      </c>
      <c r="C39" s="811"/>
      <c r="D39" s="693" t="str">
        <f>IF(C19="sugar cane","kg N / t filter cake","")</f>
        <v/>
      </c>
      <c r="E39" s="697"/>
      <c r="F39" s="697"/>
      <c r="G39" s="697"/>
      <c r="H39" s="696" t="str">
        <f>IF(C19="sugar cane", "RED used by default 12.5","")</f>
        <v/>
      </c>
      <c r="I39" s="698"/>
      <c r="J39" s="649"/>
      <c r="K39" s="649"/>
      <c r="L39" s="649"/>
      <c r="M39" s="649"/>
      <c r="N39" s="649"/>
      <c r="O39" s="649"/>
      <c r="P39" s="649"/>
      <c r="Q39" s="649"/>
      <c r="R39" s="649"/>
      <c r="S39" s="649"/>
      <c r="T39" s="649"/>
      <c r="U39" s="649"/>
      <c r="V39" s="649"/>
      <c r="W39" s="649"/>
      <c r="X39" s="649"/>
      <c r="Y39" s="649"/>
      <c r="Z39" s="649"/>
      <c r="AA39" s="649"/>
      <c r="AB39" s="649"/>
      <c r="AC39" s="649"/>
    </row>
    <row r="40" spans="1:33" s="34" customFormat="1">
      <c r="A40" s="803"/>
      <c r="B40" s="804"/>
      <c r="C40" s="774"/>
      <c r="D40" s="699"/>
      <c r="E40" s="700"/>
      <c r="F40" s="700"/>
      <c r="G40" s="700"/>
      <c r="H40" s="700"/>
      <c r="I40" s="701"/>
      <c r="J40" s="641"/>
      <c r="K40" s="641"/>
      <c r="L40" s="641"/>
      <c r="M40" s="641"/>
      <c r="N40" s="641"/>
      <c r="O40" s="641"/>
      <c r="P40" s="641"/>
      <c r="Q40" s="641"/>
      <c r="R40" s="641"/>
      <c r="S40" s="641"/>
      <c r="T40" s="641"/>
      <c r="U40" s="641"/>
      <c r="V40" s="641"/>
      <c r="W40" s="641"/>
      <c r="X40" s="641"/>
      <c r="Y40" s="641"/>
      <c r="Z40" s="641"/>
      <c r="AA40" s="641"/>
      <c r="AB40" s="641"/>
      <c r="AC40" s="641"/>
    </row>
    <row r="41" spans="1:33" s="34" customFormat="1" ht="14.25">
      <c r="A41" s="654"/>
      <c r="B41" s="654"/>
      <c r="C41" s="653"/>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row>
    <row r="42" spans="1:33" s="613" customFormat="1" ht="18.75">
      <c r="A42" s="703" t="s">
        <v>1215</v>
      </c>
      <c r="B42" s="741"/>
      <c r="C42" s="895" t="s">
        <v>1216</v>
      </c>
      <c r="D42" s="895"/>
      <c r="E42" s="666"/>
      <c r="F42" s="665"/>
      <c r="G42" s="665"/>
      <c r="H42" s="665"/>
      <c r="I42" s="667"/>
      <c r="J42" s="642"/>
      <c r="K42" s="642"/>
      <c r="L42" s="642"/>
      <c r="M42" s="642"/>
      <c r="N42" s="642"/>
      <c r="O42" s="642"/>
      <c r="P42" s="642"/>
      <c r="Q42" s="642"/>
      <c r="R42" s="642"/>
      <c r="S42" s="642"/>
      <c r="T42" s="642"/>
      <c r="U42" s="642"/>
      <c r="V42" s="642"/>
      <c r="W42" s="642"/>
      <c r="X42" s="642"/>
      <c r="Y42" s="642"/>
      <c r="Z42" s="642"/>
      <c r="AA42" s="642"/>
      <c r="AB42" s="642"/>
      <c r="AC42" s="642"/>
    </row>
    <row r="43" spans="1:33" s="615" customFormat="1" ht="20.25" customHeight="1">
      <c r="A43" s="848" t="s">
        <v>1028</v>
      </c>
      <c r="B43" s="743"/>
      <c r="C43" s="711"/>
      <c r="D43" s="711"/>
      <c r="E43" s="711"/>
      <c r="F43" s="711"/>
      <c r="G43" s="711"/>
      <c r="H43" s="711"/>
      <c r="I43" s="712"/>
      <c r="J43" s="644"/>
      <c r="K43" s="775" t="s">
        <v>1296</v>
      </c>
      <c r="L43" s="758" t="s">
        <v>1204</v>
      </c>
      <c r="M43" s="758"/>
      <c r="N43" s="780" t="s">
        <v>1073</v>
      </c>
      <c r="O43" s="641"/>
      <c r="P43" s="775" t="s">
        <v>1297</v>
      </c>
      <c r="Q43" s="758" t="s">
        <v>1205</v>
      </c>
      <c r="R43" s="758"/>
      <c r="S43" s="759" t="s">
        <v>1074</v>
      </c>
      <c r="T43" s="641"/>
      <c r="U43" s="757" t="s">
        <v>1298</v>
      </c>
      <c r="V43" s="775" t="s">
        <v>1075</v>
      </c>
      <c r="W43" s="758" t="s">
        <v>1030</v>
      </c>
      <c r="X43" s="758" t="s">
        <v>1031</v>
      </c>
      <c r="Y43" s="758" t="s">
        <v>1076</v>
      </c>
      <c r="Z43" s="758" t="s">
        <v>1345</v>
      </c>
      <c r="AA43" s="758" t="s">
        <v>1077</v>
      </c>
      <c r="AB43" s="758" t="s">
        <v>1078</v>
      </c>
      <c r="AC43" s="758" t="s">
        <v>1079</v>
      </c>
      <c r="AD43" s="758" t="s">
        <v>1080</v>
      </c>
      <c r="AE43" s="758" t="s">
        <v>1081</v>
      </c>
      <c r="AF43" s="758" t="s">
        <v>1032</v>
      </c>
      <c r="AG43" s="866" t="s">
        <v>1283</v>
      </c>
    </row>
    <row r="44" spans="1:33" s="34" customFormat="1" ht="15.75">
      <c r="A44" s="752" t="s">
        <v>1338</v>
      </c>
      <c r="B44" s="625"/>
      <c r="C44" s="670"/>
      <c r="D44" s="670"/>
      <c r="E44" s="670"/>
      <c r="F44" s="670"/>
      <c r="G44" s="670"/>
      <c r="H44" s="670"/>
      <c r="I44" s="695"/>
      <c r="J44" s="641"/>
      <c r="K44" s="710" t="s">
        <v>1041</v>
      </c>
      <c r="L44" s="871">
        <f>VLOOKUP(C19,U44:AE55,5,FALSE)*1000</f>
        <v>19960.05</v>
      </c>
      <c r="M44" s="743" t="s">
        <v>837</v>
      </c>
      <c r="N44" s="755"/>
      <c r="O44" s="641"/>
      <c r="P44" s="710"/>
      <c r="Q44" s="762" t="s">
        <v>1340</v>
      </c>
      <c r="R44" s="760" t="s">
        <v>1069</v>
      </c>
      <c r="S44" s="761" t="s">
        <v>1070</v>
      </c>
      <c r="T44" s="641"/>
      <c r="U44" s="710" t="s">
        <v>1346</v>
      </c>
      <c r="V44" s="764">
        <v>1.6E-2</v>
      </c>
      <c r="W44" s="767">
        <v>1.07</v>
      </c>
      <c r="X44" s="767">
        <v>1.54</v>
      </c>
      <c r="Y44" s="767">
        <f t="shared" ref="Y44:Y50" si="0">W44*$C$22/1000+X44</f>
        <v>19.960049999999999</v>
      </c>
      <c r="Z44" s="767">
        <f t="shared" ref="Z44:Z51" si="1">(Y44*1000+$C$22)/$C$22</f>
        <v>2.1594568690095848</v>
      </c>
      <c r="AA44" s="767">
        <f t="shared" ref="AA44:AA51" si="2">Y44*1000/$C$22</f>
        <v>1.1594568690095846</v>
      </c>
      <c r="AB44" s="767">
        <v>0.2</v>
      </c>
      <c r="AC44" s="763">
        <v>1.4E-2</v>
      </c>
      <c r="AD44" s="767">
        <f t="shared" ref="AD44:AD50" si="3">AB44*Z44</f>
        <v>0.431891373801917</v>
      </c>
      <c r="AE44" s="767">
        <f t="shared" ref="AE44:AE51" si="4">AD44*$C$22/1000</f>
        <v>7.435010000000001</v>
      </c>
      <c r="AF44" s="767">
        <v>16.3</v>
      </c>
      <c r="AG44" s="867" t="s">
        <v>1226</v>
      </c>
    </row>
    <row r="45" spans="1:33" s="34" customFormat="1" ht="15.75">
      <c r="A45" s="685"/>
      <c r="B45" s="670"/>
      <c r="C45" s="670"/>
      <c r="D45" s="670"/>
      <c r="E45" s="670"/>
      <c r="F45" s="670"/>
      <c r="G45" s="670"/>
      <c r="H45" s="670"/>
      <c r="I45" s="714"/>
      <c r="K45" s="685" t="s">
        <v>1043</v>
      </c>
      <c r="L45" s="707">
        <v>1</v>
      </c>
      <c r="M45" s="670"/>
      <c r="N45" s="695"/>
      <c r="O45" s="641"/>
      <c r="P45" s="727" t="s">
        <v>1311</v>
      </c>
      <c r="Q45" s="769">
        <v>15</v>
      </c>
      <c r="R45" s="696">
        <v>10</v>
      </c>
      <c r="S45" s="770">
        <v>30</v>
      </c>
      <c r="T45" s="641"/>
      <c r="U45" s="710" t="s">
        <v>1440</v>
      </c>
      <c r="V45" s="764">
        <v>6.0000000000000001E-3</v>
      </c>
      <c r="W45" s="767">
        <v>1.51</v>
      </c>
      <c r="X45" s="767">
        <v>0.52</v>
      </c>
      <c r="Y45" s="767">
        <f t="shared" si="0"/>
        <v>26.51465</v>
      </c>
      <c r="Z45" s="767">
        <f t="shared" si="1"/>
        <v>2.5402062155097296</v>
      </c>
      <c r="AA45" s="767">
        <f t="shared" si="2"/>
        <v>1.5402062155097298</v>
      </c>
      <c r="AB45" s="767">
        <v>0.24</v>
      </c>
      <c r="AC45" s="763">
        <v>8.9999999999999993E-3</v>
      </c>
      <c r="AD45" s="767">
        <f t="shared" si="3"/>
        <v>0.60964949172233507</v>
      </c>
      <c r="AE45" s="767">
        <f t="shared" si="4"/>
        <v>10.495115999999998</v>
      </c>
      <c r="AF45" s="767">
        <v>17</v>
      </c>
      <c r="AG45" s="867" t="s">
        <v>1226</v>
      </c>
    </row>
    <row r="46" spans="1:33" s="34" customFormat="1" ht="21" customHeight="1">
      <c r="A46" s="685"/>
      <c r="B46" s="696" t="s">
        <v>1082</v>
      </c>
      <c r="C46" s="738">
        <v>119.7</v>
      </c>
      <c r="D46" s="670" t="s">
        <v>862</v>
      </c>
      <c r="E46" s="670" t="s">
        <v>1064</v>
      </c>
      <c r="F46" s="670"/>
      <c r="G46" s="670"/>
      <c r="H46" s="670"/>
      <c r="I46" s="714"/>
      <c r="K46" s="685" t="s">
        <v>1077</v>
      </c>
      <c r="L46" s="756">
        <f>VLOOKUP(C19,U44:AE55,7,FALSE)</f>
        <v>1.1594568690095846</v>
      </c>
      <c r="M46" s="670"/>
      <c r="N46" s="695"/>
      <c r="O46" s="641"/>
      <c r="P46" s="727" t="s">
        <v>1312</v>
      </c>
      <c r="Q46" s="769">
        <v>10</v>
      </c>
      <c r="R46" s="696">
        <v>8</v>
      </c>
      <c r="S46" s="770">
        <v>15</v>
      </c>
      <c r="T46" s="641"/>
      <c r="U46" s="710" t="s">
        <v>1435</v>
      </c>
      <c r="V46" s="764">
        <v>6.0000000000000001E-3</v>
      </c>
      <c r="W46" s="767">
        <v>1.03</v>
      </c>
      <c r="X46" s="767">
        <v>0.61</v>
      </c>
      <c r="Y46" s="767">
        <f t="shared" si="0"/>
        <v>18.341450000000002</v>
      </c>
      <c r="Z46" s="767">
        <f t="shared" si="1"/>
        <v>2.065434214347952</v>
      </c>
      <c r="AA46" s="767">
        <f t="shared" si="2"/>
        <v>1.0654342143479525</v>
      </c>
      <c r="AB46" s="767">
        <v>0.22</v>
      </c>
      <c r="AC46" s="763">
        <v>7.0000000000000001E-3</v>
      </c>
      <c r="AD46" s="767">
        <f t="shared" si="3"/>
        <v>0.45439552715654946</v>
      </c>
      <c r="AE46" s="767">
        <f t="shared" si="4"/>
        <v>7.8224189999999991</v>
      </c>
      <c r="AF46" s="767">
        <v>18.5</v>
      </c>
      <c r="AG46" s="867" t="s">
        <v>1226</v>
      </c>
    </row>
    <row r="47" spans="1:33" s="34" customFormat="1" ht="15.75">
      <c r="A47" s="685"/>
      <c r="B47" s="696" t="s">
        <v>1042</v>
      </c>
      <c r="C47" s="738">
        <v>0</v>
      </c>
      <c r="D47" s="670" t="s">
        <v>862</v>
      </c>
      <c r="E47" s="670" t="s">
        <v>1065</v>
      </c>
      <c r="F47" s="670"/>
      <c r="G47" s="670"/>
      <c r="H47" s="670"/>
      <c r="I47" s="714"/>
      <c r="K47" s="685" t="s">
        <v>1046</v>
      </c>
      <c r="L47" s="670">
        <f>VLOOKUP(C19,U44:V55,2,FALSE)</f>
        <v>1.6E-2</v>
      </c>
      <c r="M47" s="670"/>
      <c r="N47" s="695"/>
      <c r="O47" s="641"/>
      <c r="P47" s="685"/>
      <c r="Q47" s="670"/>
      <c r="R47" s="670"/>
      <c r="S47" s="695"/>
      <c r="T47" s="641"/>
      <c r="U47" s="710" t="s">
        <v>1424</v>
      </c>
      <c r="V47" s="764"/>
      <c r="W47" s="767"/>
      <c r="X47" s="767"/>
      <c r="Y47" s="767">
        <f t="shared" si="0"/>
        <v>0</v>
      </c>
      <c r="Z47" s="767">
        <f t="shared" si="1"/>
        <v>1</v>
      </c>
      <c r="AA47" s="767">
        <f t="shared" si="2"/>
        <v>0</v>
      </c>
      <c r="AB47" s="767"/>
      <c r="AC47" s="763"/>
      <c r="AD47" s="767">
        <f t="shared" si="3"/>
        <v>0</v>
      </c>
      <c r="AE47" s="767">
        <f t="shared" si="4"/>
        <v>0</v>
      </c>
      <c r="AF47" s="767">
        <v>19.600000000000001</v>
      </c>
      <c r="AG47" s="867" t="s">
        <v>1226</v>
      </c>
    </row>
    <row r="48" spans="1:33" s="34" customFormat="1" ht="15.75">
      <c r="A48" s="685"/>
      <c r="B48" s="696" t="s">
        <v>1044</v>
      </c>
      <c r="C48" s="769">
        <f>L52</f>
        <v>423.45094</v>
      </c>
      <c r="D48" s="670" t="s">
        <v>862</v>
      </c>
      <c r="E48" s="670" t="s">
        <v>1029</v>
      </c>
      <c r="F48" s="670"/>
      <c r="G48" s="670"/>
      <c r="H48" s="670"/>
      <c r="I48" s="714"/>
      <c r="K48" s="685" t="s">
        <v>1047</v>
      </c>
      <c r="L48" s="707">
        <f>C23/L46/C22</f>
        <v>0</v>
      </c>
      <c r="M48" s="670"/>
      <c r="N48" s="695"/>
      <c r="O48" s="641"/>
      <c r="P48" s="772" t="s">
        <v>1045</v>
      </c>
      <c r="Q48" s="773">
        <f>IF(C28="arable to arable land",C29/Q46*1000,C29/Q45*1000)</f>
        <v>0</v>
      </c>
      <c r="R48" s="774" t="s">
        <v>1033</v>
      </c>
      <c r="S48" s="925" t="s">
        <v>1300</v>
      </c>
      <c r="T48" s="641"/>
      <c r="U48" s="710" t="s">
        <v>1416</v>
      </c>
      <c r="V48" s="764">
        <v>6.0000000000000001E-3</v>
      </c>
      <c r="W48" s="767">
        <v>1.0900000000000001</v>
      </c>
      <c r="X48" s="767">
        <v>0.88</v>
      </c>
      <c r="Y48" s="767">
        <f t="shared" si="0"/>
        <v>19.644350000000003</v>
      </c>
      <c r="Z48" s="767">
        <f t="shared" si="1"/>
        <v>2.1411182108626203</v>
      </c>
      <c r="AA48" s="767">
        <f t="shared" si="2"/>
        <v>1.1411182108626199</v>
      </c>
      <c r="AB48" s="767">
        <v>0.22</v>
      </c>
      <c r="AC48" s="763">
        <v>8.9999999999999993E-3</v>
      </c>
      <c r="AD48" s="767">
        <f t="shared" si="3"/>
        <v>0.47104600638977645</v>
      </c>
      <c r="AE48" s="767">
        <f t="shared" si="4"/>
        <v>8.1090570000000017</v>
      </c>
      <c r="AF48" s="767">
        <v>26.4</v>
      </c>
      <c r="AG48" s="867" t="s">
        <v>1226</v>
      </c>
    </row>
    <row r="49" spans="1:33" s="34" customFormat="1" ht="15.75">
      <c r="A49" s="685"/>
      <c r="B49" s="696" t="s">
        <v>1045</v>
      </c>
      <c r="C49" s="787">
        <f>Q48</f>
        <v>0</v>
      </c>
      <c r="D49" s="670" t="s">
        <v>862</v>
      </c>
      <c r="E49" s="670" t="s">
        <v>1066</v>
      </c>
      <c r="F49" s="670"/>
      <c r="G49" s="670"/>
      <c r="H49" s="670"/>
      <c r="I49" s="714"/>
      <c r="K49" s="685" t="s">
        <v>1080</v>
      </c>
      <c r="L49" s="708">
        <f>VLOOKUP(C19,U44:AE55,10,FALSE)</f>
        <v>0.431891373801917</v>
      </c>
      <c r="M49" s="670"/>
      <c r="N49" s="695"/>
      <c r="O49" s="641"/>
      <c r="P49" s="777" t="s">
        <v>1339</v>
      </c>
      <c r="Q49" s="778"/>
      <c r="R49" s="778"/>
      <c r="S49" s="779"/>
      <c r="T49" s="641"/>
      <c r="U49" s="710" t="s">
        <v>898</v>
      </c>
      <c r="V49" s="764">
        <v>6.0000000000000001E-3</v>
      </c>
      <c r="W49" s="767">
        <v>1.0900000000000001</v>
      </c>
      <c r="X49" s="767">
        <v>0.88</v>
      </c>
      <c r="Y49" s="767">
        <f t="shared" si="0"/>
        <v>19.644350000000003</v>
      </c>
      <c r="Z49" s="767">
        <f t="shared" si="1"/>
        <v>2.1411182108626203</v>
      </c>
      <c r="AA49" s="767">
        <f t="shared" si="2"/>
        <v>1.1411182108626199</v>
      </c>
      <c r="AB49" s="767">
        <v>0.22</v>
      </c>
      <c r="AC49" s="763">
        <v>8.9999999999999993E-3</v>
      </c>
      <c r="AD49" s="767">
        <f t="shared" si="3"/>
        <v>0.47104600638977645</v>
      </c>
      <c r="AE49" s="767">
        <f t="shared" si="4"/>
        <v>8.1090570000000017</v>
      </c>
      <c r="AF49" s="767">
        <v>26.4</v>
      </c>
      <c r="AG49" s="867" t="s">
        <v>1226</v>
      </c>
    </row>
    <row r="50" spans="1:33" s="34" customFormat="1" ht="15.75">
      <c r="A50" s="786"/>
      <c r="B50" s="37"/>
      <c r="C50" s="37"/>
      <c r="D50" s="37"/>
      <c r="E50" s="37"/>
      <c r="F50" s="37"/>
      <c r="G50" s="37"/>
      <c r="H50" s="37"/>
      <c r="I50" s="714"/>
      <c r="K50" s="685" t="s">
        <v>1048</v>
      </c>
      <c r="L50" s="756">
        <f>VLOOKUP(C19,U44:AE55,9,FALSE)</f>
        <v>1.4E-2</v>
      </c>
      <c r="M50" s="670"/>
      <c r="N50" s="695"/>
      <c r="O50" s="641"/>
      <c r="P50" s="641"/>
      <c r="Q50" s="641"/>
      <c r="R50" s="653"/>
      <c r="S50" s="641"/>
      <c r="T50" s="641"/>
      <c r="U50" s="710" t="s">
        <v>1445</v>
      </c>
      <c r="V50" s="764">
        <v>8.0000000000000002E-3</v>
      </c>
      <c r="W50" s="767">
        <v>0.93</v>
      </c>
      <c r="X50" s="767">
        <v>1.35</v>
      </c>
      <c r="Y50" s="767">
        <f t="shared" si="0"/>
        <v>17.359950000000001</v>
      </c>
      <c r="Z50" s="767">
        <f t="shared" si="1"/>
        <v>2.0084199825733369</v>
      </c>
      <c r="AA50" s="767">
        <f t="shared" si="2"/>
        <v>1.0084199825733373</v>
      </c>
      <c r="AB50" s="767">
        <v>0.19</v>
      </c>
      <c r="AC50" s="763">
        <v>8.0000000000000002E-3</v>
      </c>
      <c r="AD50" s="767">
        <f t="shared" si="3"/>
        <v>0.38159979668893401</v>
      </c>
      <c r="AE50" s="767">
        <f t="shared" si="4"/>
        <v>6.5692404999999994</v>
      </c>
      <c r="AF50" s="767">
        <v>23.529411764705884</v>
      </c>
      <c r="AG50" s="867" t="s">
        <v>1226</v>
      </c>
    </row>
    <row r="51" spans="1:33" s="34" customFormat="1" ht="15.75">
      <c r="A51" s="685"/>
      <c r="B51" s="37"/>
      <c r="C51" s="891" t="s">
        <v>1340</v>
      </c>
      <c r="D51" s="728" t="s">
        <v>1069</v>
      </c>
      <c r="E51" s="729" t="s">
        <v>1070</v>
      </c>
      <c r="F51" s="696"/>
      <c r="G51" s="720"/>
      <c r="H51" s="720"/>
      <c r="I51" s="714"/>
      <c r="K51" s="685" t="s">
        <v>1078</v>
      </c>
      <c r="L51" s="756">
        <f>VLOOKUP(C19,U44:AE55,8,FALSE)</f>
        <v>0.2</v>
      </c>
      <c r="M51" s="670"/>
      <c r="N51" s="695"/>
      <c r="O51" s="641"/>
      <c r="P51" s="641"/>
      <c r="Q51" s="641"/>
      <c r="R51" s="653"/>
      <c r="S51" s="641"/>
      <c r="T51" s="641"/>
      <c r="U51" s="754" t="s">
        <v>1023</v>
      </c>
      <c r="V51" s="766">
        <v>1.0999999999999999E-2</v>
      </c>
      <c r="W51" s="768"/>
      <c r="X51" s="768"/>
      <c r="Y51" s="768">
        <f>C20*C34/1000</f>
        <v>0</v>
      </c>
      <c r="Z51" s="768">
        <f t="shared" si="1"/>
        <v>1</v>
      </c>
      <c r="AA51" s="768">
        <f t="shared" si="2"/>
        <v>0</v>
      </c>
      <c r="AB51" s="768"/>
      <c r="AC51" s="765"/>
      <c r="AD51" s="768"/>
      <c r="AE51" s="768">
        <f t="shared" si="4"/>
        <v>0</v>
      </c>
      <c r="AF51" s="768">
        <v>24</v>
      </c>
      <c r="AG51" s="867" t="s">
        <v>1226</v>
      </c>
    </row>
    <row r="52" spans="1:33" s="34" customFormat="1" ht="14.25">
      <c r="A52" s="888" t="s">
        <v>1271</v>
      </c>
      <c r="B52" s="889" t="s">
        <v>1206</v>
      </c>
      <c r="C52" s="890">
        <v>0.01</v>
      </c>
      <c r="D52" s="838">
        <v>3.0000000000000001E-3</v>
      </c>
      <c r="E52" s="839">
        <v>0.03</v>
      </c>
      <c r="F52" s="696"/>
      <c r="G52" s="696"/>
      <c r="H52" s="696"/>
      <c r="I52" s="714"/>
      <c r="K52" s="713" t="s">
        <v>1073</v>
      </c>
      <c r="L52" s="707">
        <f>IF(C19="Sugar cane",(C36*C38+C37*C39)*C20/1000,C22*L45*(L46*L47*(1-L48)+L49*L50))</f>
        <v>423.45094</v>
      </c>
      <c r="M52" s="670" t="s">
        <v>862</v>
      </c>
      <c r="N52" s="924" t="s">
        <v>1067</v>
      </c>
      <c r="O52" s="641"/>
      <c r="P52" s="641"/>
      <c r="Q52" s="641"/>
      <c r="R52" s="653"/>
      <c r="S52" s="641"/>
      <c r="T52" s="641"/>
      <c r="U52" s="862" t="s">
        <v>1284</v>
      </c>
      <c r="V52" s="764"/>
      <c r="W52" s="767"/>
      <c r="X52" s="767"/>
      <c r="Y52" s="767"/>
      <c r="Z52" s="767"/>
      <c r="AA52" s="767"/>
      <c r="AB52" s="767"/>
      <c r="AC52" s="763"/>
      <c r="AD52" s="767"/>
      <c r="AE52" s="767"/>
      <c r="AF52" s="767"/>
      <c r="AG52" s="867"/>
    </row>
    <row r="53" spans="1:33" s="34" customFormat="1">
      <c r="A53" s="786"/>
      <c r="B53" s="37"/>
      <c r="C53" s="37"/>
      <c r="D53" s="37"/>
      <c r="E53" s="37"/>
      <c r="F53" s="37"/>
      <c r="G53" s="37"/>
      <c r="H53" s="37"/>
      <c r="I53" s="714"/>
      <c r="K53" s="716"/>
      <c r="L53" s="961">
        <f>IF(C19="sugar cane",(C36*C38+C37*C39)*C20/1000,L44*L45*(L47*(1-L48)+L51*L50))</f>
        <v>375.24894</v>
      </c>
      <c r="M53" s="700" t="s">
        <v>862</v>
      </c>
      <c r="N53" s="925" t="s">
        <v>1068</v>
      </c>
      <c r="O53" s="641"/>
      <c r="P53" s="641"/>
      <c r="Q53" s="641"/>
      <c r="R53" s="641"/>
      <c r="S53" s="641"/>
      <c r="T53" s="641"/>
      <c r="U53" s="862" t="s">
        <v>1287</v>
      </c>
      <c r="V53" s="863"/>
      <c r="W53" s="864"/>
      <c r="X53" s="864"/>
      <c r="Y53" s="864"/>
      <c r="Z53" s="864"/>
      <c r="AA53" s="864"/>
      <c r="AB53" s="864"/>
      <c r="AC53" s="865"/>
      <c r="AD53" s="864"/>
      <c r="AE53" s="864"/>
      <c r="AF53" s="864"/>
      <c r="AG53" s="868"/>
    </row>
    <row r="54" spans="1:33" s="34" customFormat="1" ht="15.75">
      <c r="A54" s="786"/>
      <c r="B54" s="37"/>
      <c r="C54" s="3110" t="s">
        <v>863</v>
      </c>
      <c r="D54" s="3115"/>
      <c r="E54" s="3116"/>
      <c r="F54" s="3110" t="s">
        <v>864</v>
      </c>
      <c r="G54" s="3115"/>
      <c r="H54" s="3116"/>
      <c r="I54" s="714"/>
      <c r="K54" s="777" t="s">
        <v>1339</v>
      </c>
      <c r="L54" s="778"/>
      <c r="M54" s="778"/>
      <c r="N54" s="779"/>
      <c r="U54" s="862" t="s">
        <v>1288</v>
      </c>
      <c r="V54" s="863"/>
      <c r="W54" s="864"/>
      <c r="X54" s="864"/>
      <c r="Y54" s="864"/>
      <c r="Z54" s="864"/>
      <c r="AA54" s="864"/>
      <c r="AB54" s="864"/>
      <c r="AC54" s="865"/>
      <c r="AD54" s="864"/>
      <c r="AE54" s="864"/>
      <c r="AF54" s="864"/>
      <c r="AG54" s="868"/>
    </row>
    <row r="55" spans="1:33" s="34" customFormat="1">
      <c r="A55" s="786"/>
      <c r="B55" s="37"/>
      <c r="C55" s="840" t="s">
        <v>1340</v>
      </c>
      <c r="D55" s="728" t="s">
        <v>1069</v>
      </c>
      <c r="E55" s="729" t="s">
        <v>1070</v>
      </c>
      <c r="F55" s="840" t="s">
        <v>1340</v>
      </c>
      <c r="G55" s="728" t="s">
        <v>1069</v>
      </c>
      <c r="H55" s="729" t="s">
        <v>1070</v>
      </c>
      <c r="I55" s="714"/>
      <c r="K55" s="908"/>
      <c r="L55" s="909"/>
      <c r="M55" s="909"/>
      <c r="N55" s="909"/>
      <c r="U55" s="862" t="s">
        <v>1289</v>
      </c>
      <c r="V55" s="863"/>
      <c r="W55" s="864"/>
      <c r="X55" s="864"/>
      <c r="Y55" s="864"/>
      <c r="Z55" s="864"/>
      <c r="AA55" s="864"/>
      <c r="AB55" s="864"/>
      <c r="AC55" s="865"/>
      <c r="AD55" s="864"/>
      <c r="AE55" s="864"/>
      <c r="AF55" s="864"/>
      <c r="AG55" s="868"/>
    </row>
    <row r="56" spans="1:33" s="34" customFormat="1" ht="15" customHeight="1">
      <c r="A56" s="727" t="s">
        <v>1270</v>
      </c>
      <c r="B56" s="887" t="s">
        <v>1049</v>
      </c>
      <c r="C56" s="883">
        <f>SUM(C46:C49)*C52</f>
        <v>5.4315094000000004</v>
      </c>
      <c r="D56" s="885">
        <f>SUM(C46:C49)*D52</f>
        <v>1.62945282</v>
      </c>
      <c r="E56" s="886">
        <f>SUM(C46:C49)*E52</f>
        <v>16.294528199999998</v>
      </c>
      <c r="F56" s="884">
        <f>C56*44/28</f>
        <v>8.5352290571428586</v>
      </c>
      <c r="G56" s="885">
        <f>D56*44/28</f>
        <v>2.5605687171428571</v>
      </c>
      <c r="H56" s="886">
        <f>E56*44/28</f>
        <v>25.605687171428571</v>
      </c>
      <c r="I56" s="924" t="s">
        <v>1170</v>
      </c>
      <c r="J56" s="655"/>
      <c r="K56" s="653"/>
      <c r="L56" s="653"/>
      <c r="M56" s="641"/>
      <c r="N56" s="641"/>
      <c r="O56" s="641"/>
      <c r="P56" s="641"/>
      <c r="Q56" s="641"/>
      <c r="R56" s="641"/>
      <c r="S56" s="641"/>
      <c r="T56" s="641"/>
      <c r="U56" s="641"/>
      <c r="V56" s="641"/>
      <c r="W56" s="641"/>
      <c r="X56" s="641"/>
      <c r="Y56" s="641"/>
      <c r="Z56" s="641"/>
      <c r="AA56" s="641"/>
      <c r="AB56" s="641"/>
      <c r="AC56" s="641"/>
    </row>
    <row r="57" spans="1:33" s="34" customFormat="1" ht="14.25">
      <c r="A57" s="685"/>
      <c r="B57" s="670"/>
      <c r="C57" s="708"/>
      <c r="D57" s="670"/>
      <c r="E57" s="670"/>
      <c r="F57" s="708"/>
      <c r="G57" s="670"/>
      <c r="H57" s="670"/>
      <c r="I57" s="695"/>
      <c r="J57" s="641"/>
      <c r="K57" s="641"/>
      <c r="L57" s="641"/>
      <c r="M57" s="641"/>
      <c r="N57" s="641"/>
      <c r="O57" s="641"/>
      <c r="P57" s="641"/>
      <c r="Q57" s="641"/>
      <c r="R57" s="641"/>
      <c r="S57" s="641"/>
      <c r="T57" s="641"/>
      <c r="U57" s="757" t="s">
        <v>1218</v>
      </c>
      <c r="V57" s="818" t="s">
        <v>1219</v>
      </c>
      <c r="W57" s="758"/>
      <c r="X57" s="758"/>
      <c r="Y57" s="758"/>
      <c r="Z57" s="758" t="s">
        <v>1232</v>
      </c>
      <c r="AA57" s="758"/>
      <c r="AB57" s="758"/>
      <c r="AC57" s="758"/>
      <c r="AD57" s="758"/>
      <c r="AE57" s="758"/>
      <c r="AF57" s="758"/>
      <c r="AG57" s="780"/>
    </row>
    <row r="58" spans="1:33" s="34" customFormat="1" ht="15.75">
      <c r="A58" s="752" t="s">
        <v>1341</v>
      </c>
      <c r="B58" s="625"/>
      <c r="C58" s="670" t="s">
        <v>1269</v>
      </c>
      <c r="D58" s="670"/>
      <c r="E58" s="670"/>
      <c r="F58" s="670"/>
      <c r="G58" s="670"/>
      <c r="H58" s="670"/>
      <c r="I58" s="695"/>
      <c r="J58" s="641"/>
      <c r="K58" s="641"/>
      <c r="L58" s="641"/>
      <c r="M58" s="641"/>
      <c r="N58" s="641"/>
      <c r="O58" s="641"/>
      <c r="P58" s="641"/>
      <c r="Q58" s="641"/>
      <c r="R58" s="641"/>
      <c r="S58" s="641"/>
      <c r="T58" s="641"/>
      <c r="U58" s="775" t="s">
        <v>1245</v>
      </c>
      <c r="V58" s="917" t="s">
        <v>1246</v>
      </c>
      <c r="W58" s="858"/>
      <c r="X58" s="858"/>
      <c r="Y58" s="776" t="s">
        <v>1229</v>
      </c>
      <c r="Z58" s="3113" t="s">
        <v>1242</v>
      </c>
      <c r="AA58" s="3113"/>
      <c r="AB58" s="3113"/>
      <c r="AC58" s="918"/>
      <c r="AD58" s="858"/>
      <c r="AE58" s="858"/>
      <c r="AF58" s="858"/>
      <c r="AG58" s="859"/>
    </row>
    <row r="59" spans="1:33" s="34" customFormat="1" ht="15" customHeight="1">
      <c r="A59" s="713"/>
      <c r="B59" s="625"/>
      <c r="C59" s="3110" t="s">
        <v>863</v>
      </c>
      <c r="D59" s="3115"/>
      <c r="E59" s="3116"/>
      <c r="F59" s="3110" t="s">
        <v>864</v>
      </c>
      <c r="G59" s="3115"/>
      <c r="H59" s="3116"/>
      <c r="I59" s="695"/>
      <c r="J59" s="641"/>
      <c r="K59" s="641"/>
      <c r="L59" s="641"/>
      <c r="M59" s="641"/>
      <c r="N59" s="641"/>
      <c r="O59" s="641"/>
      <c r="P59" s="641"/>
      <c r="Q59" s="641"/>
      <c r="R59" s="641"/>
      <c r="S59" s="641"/>
      <c r="T59" s="641"/>
      <c r="U59" s="911" t="s">
        <v>1223</v>
      </c>
      <c r="V59" s="913" t="s">
        <v>1225</v>
      </c>
      <c r="W59" s="897"/>
      <c r="X59" s="897"/>
      <c r="Y59" s="910"/>
      <c r="Z59" s="915" t="s">
        <v>1243</v>
      </c>
      <c r="AA59" s="897"/>
      <c r="AB59" s="897"/>
      <c r="AC59" s="896"/>
      <c r="AD59" s="897"/>
      <c r="AE59" s="897"/>
      <c r="AF59" s="897"/>
      <c r="AG59" s="898"/>
    </row>
    <row r="60" spans="1:33" s="34" customFormat="1" ht="17.25" customHeight="1">
      <c r="A60" s="685" t="str">
        <f>IF(C19="sugar cane", "N2O from trash burning","")</f>
        <v/>
      </c>
      <c r="B60" s="670"/>
      <c r="C60" s="841" t="str">
        <f>IF(C19="sugar cane",F60*28/44,"")</f>
        <v/>
      </c>
      <c r="D60" s="842"/>
      <c r="E60" s="842"/>
      <c r="F60" s="841" t="str">
        <f>IF(C19="sugar cane",0.00825*C20/1000,"")</f>
        <v/>
      </c>
      <c r="G60" s="842"/>
      <c r="H60" s="843"/>
      <c r="I60" s="770"/>
      <c r="J60" s="641"/>
      <c r="K60" s="641"/>
      <c r="L60" s="641"/>
      <c r="M60" s="641"/>
      <c r="N60" s="641"/>
      <c r="O60" s="641"/>
      <c r="P60" s="641"/>
      <c r="Q60" s="641"/>
      <c r="R60" s="641"/>
      <c r="S60" s="641"/>
      <c r="T60" s="641"/>
      <c r="U60" s="911" t="s">
        <v>1223</v>
      </c>
      <c r="V60" s="913" t="s">
        <v>1225</v>
      </c>
      <c r="W60" s="897"/>
      <c r="X60" s="897"/>
      <c r="Y60" s="910" t="s">
        <v>1233</v>
      </c>
      <c r="Z60" s="915" t="s">
        <v>1238</v>
      </c>
      <c r="AA60" s="897"/>
      <c r="AB60" s="897"/>
      <c r="AC60" s="896"/>
      <c r="AD60" s="897"/>
      <c r="AE60" s="897"/>
      <c r="AF60" s="897"/>
      <c r="AG60" s="898"/>
    </row>
    <row r="61" spans="1:33" s="34" customFormat="1" ht="15.75" customHeight="1">
      <c r="A61" s="752" t="s">
        <v>1342</v>
      </c>
      <c r="B61" s="670"/>
      <c r="C61" s="670"/>
      <c r="D61" s="670"/>
      <c r="E61" s="670"/>
      <c r="F61" s="708"/>
      <c r="G61" s="670"/>
      <c r="H61" s="670"/>
      <c r="I61" s="695"/>
      <c r="J61" s="641"/>
      <c r="K61" s="641"/>
      <c r="L61" s="641"/>
      <c r="M61" s="641"/>
      <c r="N61" s="641"/>
      <c r="O61" s="641"/>
      <c r="P61" s="641"/>
      <c r="Q61" s="641"/>
      <c r="R61" s="641"/>
      <c r="S61" s="641"/>
      <c r="T61" s="641"/>
      <c r="U61" s="911" t="s">
        <v>1224</v>
      </c>
      <c r="V61" s="3114" t="s">
        <v>1230</v>
      </c>
      <c r="W61" s="3114"/>
      <c r="X61" s="3114"/>
      <c r="Y61" s="910" t="s">
        <v>1234</v>
      </c>
      <c r="Z61" s="915" t="s">
        <v>1240</v>
      </c>
      <c r="AA61" s="897"/>
      <c r="AB61" s="897"/>
      <c r="AC61" s="896"/>
      <c r="AD61" s="897"/>
      <c r="AE61" s="897"/>
      <c r="AF61" s="897"/>
      <c r="AG61" s="898"/>
    </row>
    <row r="62" spans="1:33" s="34" customFormat="1" ht="20.25" customHeight="1">
      <c r="A62" s="752"/>
      <c r="B62" s="670"/>
      <c r="C62" s="3110" t="s">
        <v>863</v>
      </c>
      <c r="D62" s="3115"/>
      <c r="E62" s="3116"/>
      <c r="F62" s="3110" t="s">
        <v>864</v>
      </c>
      <c r="G62" s="3115"/>
      <c r="H62" s="3116"/>
      <c r="I62" s="695"/>
      <c r="J62" s="641"/>
      <c r="K62" s="641"/>
      <c r="L62" s="641"/>
      <c r="M62" s="641"/>
      <c r="N62" s="641"/>
      <c r="O62" s="641"/>
      <c r="P62" s="641"/>
      <c r="Q62" s="641"/>
      <c r="R62" s="641"/>
      <c r="S62" s="641"/>
      <c r="T62" s="641"/>
      <c r="U62" s="911" t="s">
        <v>1031</v>
      </c>
      <c r="V62" s="3114" t="s">
        <v>1231</v>
      </c>
      <c r="W62" s="3114"/>
      <c r="X62" s="3114"/>
      <c r="Y62" s="910" t="s">
        <v>1235</v>
      </c>
      <c r="Z62" s="915" t="s">
        <v>1241</v>
      </c>
      <c r="AA62" s="897"/>
      <c r="AB62" s="897"/>
      <c r="AC62" s="896"/>
      <c r="AD62" s="897"/>
      <c r="AE62" s="897"/>
      <c r="AF62" s="897"/>
      <c r="AG62" s="898"/>
    </row>
    <row r="63" spans="1:33" s="34" customFormat="1" ht="14.25">
      <c r="A63" s="752"/>
      <c r="B63" s="670"/>
      <c r="C63" s="840" t="s">
        <v>1340</v>
      </c>
      <c r="D63" s="728" t="s">
        <v>1069</v>
      </c>
      <c r="E63" s="729" t="s">
        <v>1070</v>
      </c>
      <c r="F63" s="840" t="s">
        <v>1340</v>
      </c>
      <c r="G63" s="728" t="s">
        <v>1069</v>
      </c>
      <c r="H63" s="729" t="s">
        <v>1070</v>
      </c>
      <c r="I63" s="695"/>
      <c r="J63" s="641"/>
      <c r="K63" s="641"/>
      <c r="L63" s="641"/>
      <c r="M63" s="641"/>
      <c r="N63" s="641"/>
      <c r="O63" s="641"/>
      <c r="P63" s="641"/>
      <c r="Q63" s="641"/>
      <c r="R63" s="641"/>
      <c r="S63" s="641"/>
      <c r="T63" s="641"/>
      <c r="U63" s="911" t="s">
        <v>1227</v>
      </c>
      <c r="V63" s="913" t="s">
        <v>1244</v>
      </c>
      <c r="W63" s="897"/>
      <c r="X63" s="897"/>
      <c r="Y63" s="910" t="s">
        <v>1236</v>
      </c>
      <c r="Z63" s="915" t="s">
        <v>1237</v>
      </c>
      <c r="AA63" s="897"/>
      <c r="AB63" s="897"/>
      <c r="AC63" s="896"/>
      <c r="AD63" s="919" t="s">
        <v>1247</v>
      </c>
      <c r="AE63" s="897"/>
      <c r="AF63" s="897"/>
      <c r="AG63" s="898"/>
    </row>
    <row r="64" spans="1:33" s="34" customFormat="1" ht="21.75" customHeight="1">
      <c r="A64" s="869" t="s">
        <v>1291</v>
      </c>
      <c r="B64" s="670"/>
      <c r="C64" s="835">
        <f t="shared" ref="C64:H64" si="5">IF($C$19="Sugar cane",SUM(C56,C60),C56)</f>
        <v>5.4315094000000004</v>
      </c>
      <c r="D64" s="836">
        <f t="shared" si="5"/>
        <v>1.62945282</v>
      </c>
      <c r="E64" s="836">
        <f t="shared" si="5"/>
        <v>16.294528199999998</v>
      </c>
      <c r="F64" s="835">
        <f t="shared" si="5"/>
        <v>8.5352290571428586</v>
      </c>
      <c r="G64" s="836">
        <f t="shared" si="5"/>
        <v>2.5605687171428571</v>
      </c>
      <c r="H64" s="837">
        <f t="shared" si="5"/>
        <v>25.605687171428571</v>
      </c>
      <c r="I64" s="695"/>
      <c r="J64" s="641"/>
      <c r="K64" s="641"/>
      <c r="L64" s="641"/>
      <c r="M64" s="641"/>
      <c r="N64" s="641"/>
      <c r="O64" s="641"/>
      <c r="P64" s="641"/>
      <c r="Q64" s="641"/>
      <c r="R64" s="641"/>
      <c r="S64" s="641"/>
      <c r="T64" s="641"/>
      <c r="U64" s="912" t="s">
        <v>1228</v>
      </c>
      <c r="V64" s="914" t="s">
        <v>1239</v>
      </c>
      <c r="W64" s="900"/>
      <c r="X64" s="900"/>
      <c r="Y64" s="900"/>
      <c r="Z64" s="916"/>
      <c r="AA64" s="900"/>
      <c r="AB64" s="900"/>
      <c r="AC64" s="899"/>
      <c r="AD64" s="900"/>
      <c r="AE64" s="900"/>
      <c r="AF64" s="900"/>
      <c r="AG64" s="901"/>
    </row>
    <row r="65" spans="1:31" s="34" customFormat="1">
      <c r="A65" s="748"/>
      <c r="B65" s="700"/>
      <c r="C65" s="700"/>
      <c r="D65" s="700"/>
      <c r="E65" s="700"/>
      <c r="F65" s="700"/>
      <c r="G65" s="700"/>
      <c r="H65" s="700"/>
      <c r="I65" s="701"/>
      <c r="J65" s="641"/>
      <c r="K65" s="641"/>
      <c r="L65" s="641"/>
      <c r="M65" s="641"/>
      <c r="N65" s="641"/>
      <c r="O65" s="641"/>
      <c r="P65" s="641"/>
      <c r="Q65" s="641"/>
      <c r="R65" s="641"/>
      <c r="S65" s="641"/>
      <c r="T65" s="641"/>
      <c r="U65" s="641"/>
      <c r="V65" s="641"/>
      <c r="W65" s="641"/>
      <c r="X65" s="641"/>
      <c r="Y65" s="641"/>
      <c r="Z65" s="641"/>
      <c r="AA65" s="641"/>
      <c r="AB65" s="641"/>
      <c r="AC65" s="641"/>
    </row>
    <row r="66" spans="1:31" s="34" customFormat="1" ht="21" customHeight="1">
      <c r="A66" s="641"/>
      <c r="B66" s="641"/>
      <c r="C66" s="656"/>
      <c r="D66" s="641"/>
      <c r="E66" s="641"/>
      <c r="F66" s="656"/>
      <c r="G66" s="641"/>
      <c r="H66" s="641"/>
      <c r="I66" s="641"/>
      <c r="J66" s="641"/>
      <c r="W66" s="641"/>
      <c r="X66" s="641"/>
      <c r="Y66" s="641"/>
      <c r="Z66" s="641"/>
      <c r="AA66" s="641"/>
      <c r="AB66" s="641"/>
      <c r="AC66" s="641"/>
    </row>
    <row r="67" spans="1:31" s="34" customFormat="1" ht="18.75">
      <c r="A67" s="703" t="s">
        <v>1292</v>
      </c>
      <c r="B67" s="741"/>
      <c r="C67" s="895" t="s">
        <v>1217</v>
      </c>
      <c r="D67" s="665"/>
      <c r="E67" s="666"/>
      <c r="F67" s="665"/>
      <c r="G67" s="665"/>
      <c r="H67" s="665"/>
      <c r="I67" s="667"/>
      <c r="J67" s="641"/>
      <c r="K67" s="775" t="s">
        <v>1211</v>
      </c>
      <c r="L67" s="788" t="s">
        <v>1210</v>
      </c>
      <c r="M67" s="892"/>
      <c r="N67" s="892" t="s">
        <v>1050</v>
      </c>
      <c r="O67" s="923" t="s">
        <v>1251</v>
      </c>
      <c r="P67" s="641"/>
      <c r="Q67" s="775" t="s">
        <v>1213</v>
      </c>
      <c r="R67" s="892" t="s">
        <v>1212</v>
      </c>
      <c r="S67" s="892" t="s">
        <v>1051</v>
      </c>
      <c r="T67" s="776"/>
      <c r="U67" s="923" t="s">
        <v>1252</v>
      </c>
      <c r="V67" s="641"/>
      <c r="W67" s="775" t="s">
        <v>1214</v>
      </c>
      <c r="X67" s="788" t="s">
        <v>1172</v>
      </c>
      <c r="Y67" s="788"/>
      <c r="Z67" s="934" t="s">
        <v>1171</v>
      </c>
      <c r="AA67" s="934"/>
      <c r="AB67" s="934"/>
      <c r="AC67" s="934"/>
      <c r="AD67" s="934"/>
      <c r="AE67" s="780"/>
    </row>
    <row r="68" spans="1:31" s="613" customFormat="1" ht="15.75">
      <c r="A68" s="783"/>
      <c r="B68" s="784"/>
      <c r="C68" s="784"/>
      <c r="D68" s="784"/>
      <c r="E68" s="784"/>
      <c r="F68" s="784"/>
      <c r="G68" s="784"/>
      <c r="H68" s="784"/>
      <c r="I68" s="785"/>
      <c r="J68" s="642"/>
      <c r="K68" s="797"/>
      <c r="L68" s="798" t="s">
        <v>1340</v>
      </c>
      <c r="M68" s="799" t="s">
        <v>1343</v>
      </c>
      <c r="N68" s="799" t="s">
        <v>1070</v>
      </c>
      <c r="O68" s="800"/>
      <c r="P68" s="641"/>
      <c r="Q68" s="797"/>
      <c r="R68" s="798" t="s">
        <v>1340</v>
      </c>
      <c r="S68" s="799" t="s">
        <v>1343</v>
      </c>
      <c r="T68" s="799" t="s">
        <v>1070</v>
      </c>
      <c r="U68" s="800"/>
      <c r="V68" s="641"/>
      <c r="W68" s="815" t="s">
        <v>1082</v>
      </c>
      <c r="X68" s="942" t="s">
        <v>1173</v>
      </c>
      <c r="Y68" s="943"/>
      <c r="Z68" s="926"/>
      <c r="AA68" s="926"/>
      <c r="AB68" s="926"/>
      <c r="AC68" s="926"/>
      <c r="AD68" s="926"/>
      <c r="AE68" s="927"/>
    </row>
    <row r="69" spans="1:31" s="34" customFormat="1" ht="15.75">
      <c r="A69" s="786"/>
      <c r="B69" s="37"/>
      <c r="C69" s="774"/>
      <c r="D69" s="774"/>
      <c r="E69" s="774"/>
      <c r="F69" s="696"/>
      <c r="G69" s="696"/>
      <c r="H69" s="696"/>
      <c r="I69" s="857"/>
      <c r="K69" s="753" t="s">
        <v>1082</v>
      </c>
      <c r="L69" s="787">
        <f>C46</f>
        <v>119.7</v>
      </c>
      <c r="M69" s="696"/>
      <c r="N69" s="709" t="s">
        <v>1064</v>
      </c>
      <c r="O69" s="770" t="s">
        <v>862</v>
      </c>
      <c r="P69" s="641"/>
      <c r="Q69" s="753" t="s">
        <v>1082</v>
      </c>
      <c r="R69" s="769">
        <f>C46</f>
        <v>119.7</v>
      </c>
      <c r="S69" s="696"/>
      <c r="T69" s="709" t="s">
        <v>1064</v>
      </c>
      <c r="U69" s="770" t="s">
        <v>862</v>
      </c>
      <c r="V69" s="642"/>
      <c r="W69" s="938" t="s">
        <v>1042</v>
      </c>
      <c r="X69" s="936" t="s">
        <v>1174</v>
      </c>
      <c r="Y69" s="928"/>
      <c r="Z69" s="929"/>
      <c r="AA69" s="929"/>
      <c r="AB69" s="929"/>
      <c r="AC69" s="929"/>
      <c r="AD69" s="929"/>
      <c r="AE69" s="905"/>
    </row>
    <row r="70" spans="1:31" s="34" customFormat="1" ht="15.75">
      <c r="A70" s="786"/>
      <c r="B70" s="37"/>
      <c r="C70" s="820" t="s">
        <v>1340</v>
      </c>
      <c r="D70" s="730" t="s">
        <v>1069</v>
      </c>
      <c r="E70" s="731" t="s">
        <v>1070</v>
      </c>
      <c r="F70" s="696"/>
      <c r="G70" s="720"/>
      <c r="H70" s="720"/>
      <c r="I70" s="714"/>
      <c r="K70" s="753" t="s">
        <v>1042</v>
      </c>
      <c r="L70" s="787">
        <f>C47</f>
        <v>0</v>
      </c>
      <c r="M70" s="696"/>
      <c r="N70" s="709" t="s">
        <v>1065</v>
      </c>
      <c r="O70" s="770" t="s">
        <v>862</v>
      </c>
      <c r="P70" s="641"/>
      <c r="Q70" s="753" t="s">
        <v>1042</v>
      </c>
      <c r="R70" s="771">
        <f>C47</f>
        <v>0</v>
      </c>
      <c r="S70" s="696"/>
      <c r="T70" s="709" t="s">
        <v>1065</v>
      </c>
      <c r="U70" s="770" t="s">
        <v>862</v>
      </c>
      <c r="V70" s="641"/>
      <c r="W70" s="938" t="s">
        <v>1044</v>
      </c>
      <c r="X70" s="937" t="s">
        <v>1175</v>
      </c>
      <c r="Y70" s="928"/>
      <c r="Z70" s="929"/>
      <c r="AA70" s="929"/>
      <c r="AB70" s="929"/>
      <c r="AC70" s="929"/>
      <c r="AD70" s="929"/>
      <c r="AE70" s="905"/>
    </row>
    <row r="71" spans="1:31" s="34" customFormat="1" ht="15.75">
      <c r="A71" s="727" t="s">
        <v>1275</v>
      </c>
      <c r="B71" s="820" t="s">
        <v>1279</v>
      </c>
      <c r="C71" s="920">
        <f>L73</f>
        <v>11.97</v>
      </c>
      <c r="D71" s="921">
        <f>M73</f>
        <v>3.5909999999999997</v>
      </c>
      <c r="E71" s="922">
        <f>N73</f>
        <v>35.909999999999997</v>
      </c>
      <c r="F71" s="696"/>
      <c r="G71" s="696"/>
      <c r="H71" s="696"/>
      <c r="I71" s="714"/>
      <c r="K71" s="753" t="s">
        <v>1052</v>
      </c>
      <c r="L71" s="944">
        <v>0.2</v>
      </c>
      <c r="M71" s="945">
        <v>0.05</v>
      </c>
      <c r="N71" s="945">
        <v>0.5</v>
      </c>
      <c r="O71" s="770"/>
      <c r="P71" s="641"/>
      <c r="Q71" s="753" t="s">
        <v>1044</v>
      </c>
      <c r="R71" s="696">
        <f>C48</f>
        <v>423.45094</v>
      </c>
      <c r="S71" s="696"/>
      <c r="T71" s="709" t="s">
        <v>1029</v>
      </c>
      <c r="U71" s="770" t="s">
        <v>862</v>
      </c>
      <c r="V71" s="641"/>
      <c r="W71" s="938" t="s">
        <v>1045</v>
      </c>
      <c r="X71" s="936" t="s">
        <v>1176</v>
      </c>
      <c r="Y71" s="928"/>
      <c r="Z71" s="929"/>
      <c r="AA71" s="929"/>
      <c r="AB71" s="929"/>
      <c r="AC71" s="929"/>
      <c r="AD71" s="929"/>
      <c r="AE71" s="905"/>
    </row>
    <row r="72" spans="1:31" s="34" customFormat="1" ht="15.75">
      <c r="A72" s="727" t="s">
        <v>1276</v>
      </c>
      <c r="B72" s="820" t="s">
        <v>1280</v>
      </c>
      <c r="C72" s="920">
        <f>R74</f>
        <v>162.94528199999999</v>
      </c>
      <c r="D72" s="921">
        <f>S74</f>
        <v>54.315094000000002</v>
      </c>
      <c r="E72" s="922">
        <f>T74</f>
        <v>434.52075200000002</v>
      </c>
      <c r="F72" s="696"/>
      <c r="G72" s="696"/>
      <c r="H72" s="696"/>
      <c r="I72" s="714"/>
      <c r="K72" s="753" t="s">
        <v>1053</v>
      </c>
      <c r="L72" s="944">
        <v>0.1</v>
      </c>
      <c r="M72" s="945">
        <v>0.03</v>
      </c>
      <c r="N72" s="945">
        <v>0.3</v>
      </c>
      <c r="O72" s="770"/>
      <c r="P72" s="641"/>
      <c r="Q72" s="753" t="s">
        <v>1045</v>
      </c>
      <c r="R72" s="769">
        <f>C49</f>
        <v>0</v>
      </c>
      <c r="S72" s="696"/>
      <c r="T72" s="709" t="s">
        <v>1066</v>
      </c>
      <c r="U72" s="770" t="s">
        <v>862</v>
      </c>
      <c r="V72" s="641"/>
      <c r="W72" s="938"/>
      <c r="X72" s="936" t="s">
        <v>1177</v>
      </c>
      <c r="Y72" s="930"/>
      <c r="Z72" s="929"/>
      <c r="AA72" s="929"/>
      <c r="AB72" s="929"/>
      <c r="AC72" s="929"/>
      <c r="AD72" s="929"/>
      <c r="AE72" s="905"/>
    </row>
    <row r="73" spans="1:31" s="34" customFormat="1" ht="16.5" customHeight="1">
      <c r="A73" s="786"/>
      <c r="B73" s="37"/>
      <c r="C73" s="37"/>
      <c r="D73" s="37"/>
      <c r="E73" s="37"/>
      <c r="F73" s="37"/>
      <c r="G73" s="37"/>
      <c r="H73" s="37"/>
      <c r="I73" s="714"/>
      <c r="K73" s="791" t="s">
        <v>1277</v>
      </c>
      <c r="L73" s="851">
        <f>($L69*L72+$L70*L71)</f>
        <v>11.97</v>
      </c>
      <c r="M73" s="852">
        <f>($L69*M72+$L70*M71)</f>
        <v>3.5909999999999997</v>
      </c>
      <c r="N73" s="852">
        <f>($L69*N72+$L70*N71)</f>
        <v>35.909999999999997</v>
      </c>
      <c r="O73" s="792" t="s">
        <v>836</v>
      </c>
      <c r="P73" s="641"/>
      <c r="Q73" s="753" t="s">
        <v>1055</v>
      </c>
      <c r="R73" s="944">
        <f>IF(C25="no",0,0.3)</f>
        <v>0.3</v>
      </c>
      <c r="S73" s="945">
        <f>IF(C25="no",0,0.1)</f>
        <v>0.1</v>
      </c>
      <c r="T73" s="945">
        <f>IF(C25="no",0,0.8)</f>
        <v>0.8</v>
      </c>
      <c r="U73" s="770"/>
      <c r="V73" s="641"/>
      <c r="W73" s="938" t="s">
        <v>1055</v>
      </c>
      <c r="X73" s="936" t="s">
        <v>1178</v>
      </c>
      <c r="Y73" s="931"/>
      <c r="Z73" s="930"/>
      <c r="AA73" s="930"/>
      <c r="AB73" s="930"/>
      <c r="AC73" s="930"/>
      <c r="AD73" s="930"/>
      <c r="AE73" s="905"/>
    </row>
    <row r="74" spans="1:31" s="34" customFormat="1" ht="18" customHeight="1">
      <c r="A74" s="888" t="s">
        <v>1207</v>
      </c>
      <c r="B74" s="889" t="s">
        <v>1208</v>
      </c>
      <c r="C74" s="890">
        <f>L76</f>
        <v>0.01</v>
      </c>
      <c r="D74" s="838">
        <f>M76</f>
        <v>2E-3</v>
      </c>
      <c r="E74" s="839">
        <f>N76</f>
        <v>0.05</v>
      </c>
      <c r="F74" s="696"/>
      <c r="G74" s="696"/>
      <c r="H74" s="696"/>
      <c r="I74" s="714"/>
      <c r="K74" s="786"/>
      <c r="L74" s="37"/>
      <c r="M74" s="37"/>
      <c r="N74" s="37"/>
      <c r="O74" s="714"/>
      <c r="P74" s="641"/>
      <c r="Q74" s="849" t="s">
        <v>1278</v>
      </c>
      <c r="R74" s="853">
        <f>SUM($R69:$R72)*R73</f>
        <v>162.94528199999999</v>
      </c>
      <c r="S74" s="852">
        <f>SUM($R69:$R72)*S73</f>
        <v>54.315094000000002</v>
      </c>
      <c r="T74" s="852">
        <f>SUM($R69:$R72)*T73</f>
        <v>434.52075200000002</v>
      </c>
      <c r="U74" s="850" t="s">
        <v>865</v>
      </c>
      <c r="V74" s="641"/>
      <c r="W74" s="938" t="s">
        <v>1052</v>
      </c>
      <c r="X74" s="935" t="s">
        <v>1179</v>
      </c>
      <c r="Y74" s="930"/>
      <c r="Z74" s="931"/>
      <c r="AA74" s="931"/>
      <c r="AB74" s="931"/>
      <c r="AC74" s="931"/>
      <c r="AD74" s="931"/>
      <c r="AE74" s="932"/>
    </row>
    <row r="75" spans="1:31" s="34" customFormat="1" ht="15.75">
      <c r="A75" s="888" t="s">
        <v>1272</v>
      </c>
      <c r="B75" s="889" t="s">
        <v>1209</v>
      </c>
      <c r="C75" s="952">
        <f>R76</f>
        <v>7.4999999999999997E-3</v>
      </c>
      <c r="D75" s="838">
        <f>S76</f>
        <v>5.0000000000000001E-4</v>
      </c>
      <c r="E75" s="839">
        <f>T76</f>
        <v>2.5000000000000001E-2</v>
      </c>
      <c r="F75" s="696"/>
      <c r="G75" s="696"/>
      <c r="H75" s="696"/>
      <c r="I75" s="714"/>
      <c r="K75" s="854"/>
      <c r="L75" s="855"/>
      <c r="M75" s="856"/>
      <c r="N75" s="856"/>
      <c r="O75" s="781"/>
      <c r="P75" s="641"/>
      <c r="Q75" s="753"/>
      <c r="R75" s="769"/>
      <c r="S75" s="720"/>
      <c r="T75" s="720"/>
      <c r="U75" s="770"/>
      <c r="V75" s="641"/>
      <c r="W75" s="938" t="s">
        <v>1053</v>
      </c>
      <c r="X75" s="940" t="s">
        <v>1180</v>
      </c>
      <c r="Y75" s="941"/>
      <c r="Z75" s="930"/>
      <c r="AA75" s="930"/>
      <c r="AB75" s="930"/>
      <c r="AC75" s="930"/>
      <c r="AD75" s="930"/>
      <c r="AE75" s="905"/>
    </row>
    <row r="76" spans="1:31" s="34" customFormat="1" ht="15.75">
      <c r="A76" s="786"/>
      <c r="B76" s="37"/>
      <c r="C76" s="37"/>
      <c r="D76" s="37"/>
      <c r="E76" s="37"/>
      <c r="F76" s="37"/>
      <c r="G76" s="37"/>
      <c r="H76" s="37"/>
      <c r="I76" s="714"/>
      <c r="K76" s="782" t="s">
        <v>1054</v>
      </c>
      <c r="L76" s="793">
        <v>0.01</v>
      </c>
      <c r="M76" s="794">
        <v>2E-3</v>
      </c>
      <c r="N76" s="794">
        <v>0.05</v>
      </c>
      <c r="O76" s="781" t="s">
        <v>1344</v>
      </c>
      <c r="P76" s="641"/>
      <c r="Q76" s="782" t="s">
        <v>1056</v>
      </c>
      <c r="R76" s="795">
        <v>7.4999999999999997E-3</v>
      </c>
      <c r="S76" s="796">
        <v>5.0000000000000001E-4</v>
      </c>
      <c r="T76" s="796">
        <v>2.5000000000000001E-2</v>
      </c>
      <c r="U76" s="781" t="s">
        <v>1344</v>
      </c>
      <c r="V76" s="641"/>
      <c r="W76" s="938"/>
      <c r="X76" s="939"/>
      <c r="Y76" s="933"/>
      <c r="Z76" s="933"/>
      <c r="AA76" s="933"/>
      <c r="AB76" s="933"/>
      <c r="AC76" s="933"/>
      <c r="AD76" s="933"/>
      <c r="AE76" s="907"/>
    </row>
    <row r="77" spans="1:31" s="34" customFormat="1">
      <c r="A77" s="786"/>
      <c r="B77" s="37"/>
      <c r="C77" s="37"/>
      <c r="D77" s="37"/>
      <c r="E77" s="37"/>
      <c r="F77" s="37"/>
      <c r="G77" s="37"/>
      <c r="H77" s="37"/>
      <c r="I77" s="714"/>
      <c r="K77" s="777" t="s">
        <v>1339</v>
      </c>
      <c r="L77" s="778"/>
      <c r="M77" s="778"/>
      <c r="N77" s="778"/>
      <c r="O77" s="779"/>
      <c r="P77" s="642"/>
      <c r="Q77" s="777" t="s">
        <v>1339</v>
      </c>
      <c r="R77" s="778"/>
      <c r="S77" s="778"/>
      <c r="T77" s="778"/>
      <c r="U77" s="779"/>
      <c r="V77" s="641"/>
      <c r="W77" s="777"/>
      <c r="X77" s="893"/>
      <c r="Y77" s="893"/>
      <c r="Z77" s="893"/>
      <c r="AA77" s="893"/>
      <c r="AB77" s="893"/>
      <c r="AC77" s="893"/>
      <c r="AD77" s="893"/>
      <c r="AE77" s="894"/>
    </row>
    <row r="78" spans="1:31" s="34" customFormat="1" ht="15.75">
      <c r="A78" s="786"/>
      <c r="B78" s="37"/>
      <c r="C78" s="3110" t="s">
        <v>863</v>
      </c>
      <c r="D78" s="3115"/>
      <c r="E78" s="3116"/>
      <c r="F78" s="3110" t="s">
        <v>864</v>
      </c>
      <c r="G78" s="3115"/>
      <c r="H78" s="3116"/>
      <c r="I78" s="714"/>
      <c r="V78" s="641"/>
      <c r="W78" s="641"/>
      <c r="X78" s="641"/>
      <c r="Y78" s="641"/>
      <c r="Z78" s="641"/>
      <c r="AA78" s="641"/>
      <c r="AB78" s="641"/>
      <c r="AC78" s="641"/>
    </row>
    <row r="79" spans="1:31" s="613" customFormat="1" ht="15.75">
      <c r="A79" s="869" t="s">
        <v>1249</v>
      </c>
      <c r="B79" s="820" t="s">
        <v>1273</v>
      </c>
      <c r="C79" s="823">
        <f t="shared" ref="C79:E80" si="6">C71*C74</f>
        <v>0.11970000000000001</v>
      </c>
      <c r="D79" s="946">
        <f t="shared" si="6"/>
        <v>7.182E-3</v>
      </c>
      <c r="E79" s="825">
        <f t="shared" si="6"/>
        <v>1.7954999999999999</v>
      </c>
      <c r="F79" s="858">
        <f t="shared" ref="F79:H80" si="7">C79*44/28</f>
        <v>0.18810000000000002</v>
      </c>
      <c r="G79" s="824">
        <f t="shared" si="7"/>
        <v>1.1286000000000001E-2</v>
      </c>
      <c r="H79" s="825">
        <f t="shared" si="7"/>
        <v>2.8214999999999999</v>
      </c>
      <c r="I79" s="714"/>
      <c r="J79" s="642"/>
      <c r="V79" s="642"/>
      <c r="W79" s="642"/>
      <c r="X79" s="642"/>
      <c r="Y79" s="642"/>
      <c r="Z79" s="642"/>
      <c r="AA79" s="642"/>
      <c r="AB79" s="642"/>
      <c r="AC79" s="642"/>
    </row>
    <row r="80" spans="1:31" s="613" customFormat="1" ht="15.75">
      <c r="A80" s="869" t="s">
        <v>1250</v>
      </c>
      <c r="B80" s="820" t="s">
        <v>1274</v>
      </c>
      <c r="C80" s="883">
        <f t="shared" si="6"/>
        <v>1.2220896149999998</v>
      </c>
      <c r="D80" s="947">
        <f t="shared" si="6"/>
        <v>2.7157547000000001E-2</v>
      </c>
      <c r="E80" s="886">
        <f t="shared" si="6"/>
        <v>10.863018800000001</v>
      </c>
      <c r="F80" s="884">
        <f t="shared" si="7"/>
        <v>1.9204265378571426</v>
      </c>
      <c r="G80" s="885">
        <f t="shared" si="7"/>
        <v>4.2676145285714284E-2</v>
      </c>
      <c r="H80" s="886">
        <f t="shared" si="7"/>
        <v>17.070458114285717</v>
      </c>
      <c r="I80" s="714"/>
      <c r="J80" s="642"/>
      <c r="V80" s="642"/>
      <c r="W80" s="642"/>
      <c r="X80" s="642"/>
      <c r="Y80" s="642"/>
      <c r="Z80" s="642"/>
      <c r="AA80" s="642"/>
      <c r="AB80" s="642"/>
      <c r="AC80" s="642"/>
    </row>
    <row r="81" spans="1:29" s="613" customFormat="1">
      <c r="A81" s="716"/>
      <c r="B81" s="744"/>
      <c r="C81" s="718"/>
      <c r="D81" s="700"/>
      <c r="E81" s="700"/>
      <c r="F81" s="718"/>
      <c r="G81" s="700"/>
      <c r="H81" s="700"/>
      <c r="I81" s="719"/>
      <c r="J81" s="642"/>
      <c r="K81" s="642"/>
      <c r="L81" s="642"/>
      <c r="M81" s="642"/>
      <c r="N81" s="642"/>
      <c r="O81" s="642"/>
      <c r="P81" s="642"/>
      <c r="Q81" s="642"/>
      <c r="R81" s="642"/>
      <c r="S81" s="642"/>
      <c r="T81" s="642"/>
      <c r="U81" s="642"/>
      <c r="V81" s="642"/>
      <c r="W81" s="642"/>
      <c r="X81" s="642"/>
      <c r="Y81" s="642"/>
      <c r="Z81" s="642"/>
      <c r="AA81" s="642"/>
      <c r="AB81" s="642"/>
      <c r="AC81" s="642"/>
    </row>
    <row r="82" spans="1:29" s="34" customFormat="1">
      <c r="A82" s="657"/>
      <c r="B82" s="657"/>
      <c r="C82" s="642"/>
      <c r="D82" s="642"/>
      <c r="E82" s="642"/>
      <c r="F82" s="642"/>
      <c r="G82" s="642"/>
      <c r="H82" s="642"/>
      <c r="J82" s="641"/>
      <c r="K82" s="641"/>
      <c r="L82" s="641"/>
      <c r="M82" s="641"/>
      <c r="N82" s="641"/>
      <c r="O82" s="641"/>
      <c r="P82" s="641"/>
      <c r="Q82" s="641"/>
      <c r="R82" s="641"/>
      <c r="S82" s="641"/>
      <c r="T82" s="641"/>
      <c r="U82" s="641"/>
      <c r="V82" s="641"/>
      <c r="W82" s="641"/>
      <c r="X82" s="641"/>
      <c r="Y82" s="641"/>
      <c r="Z82" s="641"/>
      <c r="AA82" s="641"/>
      <c r="AB82" s="641"/>
      <c r="AC82" s="641"/>
    </row>
    <row r="83" spans="1:29" s="34" customFormat="1" ht="17.25" customHeight="1">
      <c r="A83" s="674" t="s">
        <v>1264</v>
      </c>
      <c r="B83" s="740"/>
      <c r="C83" s="675"/>
      <c r="D83" s="675"/>
      <c r="E83" s="675"/>
      <c r="F83" s="676"/>
      <c r="G83" s="677"/>
      <c r="H83" s="678"/>
      <c r="I83" s="679"/>
      <c r="J83" s="641"/>
      <c r="K83" s="641"/>
      <c r="L83" s="641"/>
      <c r="M83" s="641"/>
      <c r="N83" s="641"/>
      <c r="O83" s="641"/>
      <c r="P83" s="641"/>
      <c r="Q83" s="641"/>
      <c r="R83" s="641"/>
      <c r="S83" s="641"/>
      <c r="T83" s="641"/>
      <c r="U83" s="641"/>
      <c r="V83" s="641"/>
      <c r="W83" s="641"/>
      <c r="X83" s="641"/>
      <c r="Y83" s="641"/>
      <c r="Z83" s="641"/>
      <c r="AA83" s="641"/>
      <c r="AB83" s="641"/>
      <c r="AC83" s="641"/>
    </row>
    <row r="84" spans="1:29" s="34" customFormat="1" ht="20.25" customHeight="1">
      <c r="A84" s="721"/>
      <c r="B84" s="745"/>
      <c r="C84" s="717"/>
      <c r="D84" s="717"/>
      <c r="E84" s="717"/>
      <c r="F84" s="717"/>
      <c r="G84" s="717"/>
      <c r="H84" s="717"/>
      <c r="I84" s="722"/>
      <c r="J84" s="641"/>
      <c r="K84" s="641"/>
      <c r="L84" s="641"/>
      <c r="M84" s="641"/>
      <c r="N84" s="641"/>
      <c r="O84" s="641"/>
      <c r="P84" s="641"/>
      <c r="Q84" s="641"/>
      <c r="R84" s="641"/>
      <c r="S84" s="641"/>
      <c r="T84" s="641"/>
      <c r="U84" s="641"/>
      <c r="V84" s="641"/>
      <c r="W84" s="641"/>
      <c r="X84" s="641"/>
      <c r="Y84" s="641"/>
      <c r="Z84" s="641"/>
      <c r="AA84" s="641"/>
      <c r="AB84" s="641"/>
      <c r="AC84" s="641"/>
    </row>
    <row r="85" spans="1:29" s="34" customFormat="1" ht="22.5" customHeight="1">
      <c r="A85" s="821"/>
      <c r="B85" s="822"/>
      <c r="C85" s="3110" t="s">
        <v>863</v>
      </c>
      <c r="D85" s="3111"/>
      <c r="E85" s="3112"/>
      <c r="F85" s="3110" t="s">
        <v>864</v>
      </c>
      <c r="G85" s="3111"/>
      <c r="H85" s="3112"/>
      <c r="I85" s="690"/>
      <c r="J85" s="641"/>
      <c r="K85" s="641"/>
      <c r="L85" s="641"/>
      <c r="M85" s="641"/>
      <c r="N85" s="641"/>
      <c r="O85" s="641"/>
      <c r="P85" s="641"/>
      <c r="Q85" s="641"/>
      <c r="R85" s="641"/>
      <c r="S85" s="641"/>
      <c r="T85" s="641"/>
      <c r="U85" s="641"/>
      <c r="V85" s="641"/>
      <c r="W85" s="641"/>
      <c r="X85" s="641"/>
      <c r="Y85" s="641"/>
      <c r="Z85" s="641"/>
      <c r="AA85" s="641"/>
      <c r="AB85" s="641"/>
      <c r="AC85" s="641"/>
    </row>
    <row r="86" spans="1:29" s="34" customFormat="1" ht="22.5" customHeight="1">
      <c r="A86" s="685"/>
      <c r="B86" s="670"/>
      <c r="C86" s="820" t="s">
        <v>1340</v>
      </c>
      <c r="D86" s="730" t="s">
        <v>1069</v>
      </c>
      <c r="E86" s="731" t="s">
        <v>1070</v>
      </c>
      <c r="F86" s="840" t="s">
        <v>1340</v>
      </c>
      <c r="G86" s="728" t="s">
        <v>1069</v>
      </c>
      <c r="H86" s="729" t="s">
        <v>1070</v>
      </c>
      <c r="I86" s="723"/>
      <c r="J86" s="641"/>
      <c r="K86" s="641"/>
      <c r="L86" s="641"/>
      <c r="M86" s="641"/>
      <c r="N86" s="641"/>
      <c r="O86" s="641"/>
      <c r="P86" s="641"/>
      <c r="Q86" s="641"/>
      <c r="R86" s="641"/>
      <c r="S86" s="641"/>
      <c r="T86" s="641"/>
      <c r="U86" s="641"/>
      <c r="V86" s="641"/>
      <c r="W86" s="641"/>
      <c r="X86" s="641"/>
      <c r="Y86" s="641"/>
      <c r="Z86" s="641"/>
      <c r="AA86" s="641"/>
      <c r="AB86" s="641"/>
      <c r="AC86" s="641"/>
    </row>
    <row r="87" spans="1:29" s="34" customFormat="1" ht="22.5" customHeight="1">
      <c r="A87" s="732"/>
      <c r="B87" s="733" t="s">
        <v>1071</v>
      </c>
      <c r="C87" s="823">
        <f>SUM(C64,C79,C80)</f>
        <v>6.7732990150000001</v>
      </c>
      <c r="D87" s="824">
        <f>SUM(D64,D79,D80)</f>
        <v>1.6637923670000001</v>
      </c>
      <c r="E87" s="825">
        <f>SUM(E64,E79,E80)</f>
        <v>28.953046999999998</v>
      </c>
      <c r="F87" s="823">
        <f t="shared" ref="F87:H89" si="8">C87*44/28</f>
        <v>10.643755595</v>
      </c>
      <c r="G87" s="824">
        <f t="shared" si="8"/>
        <v>2.6145308624285719</v>
      </c>
      <c r="H87" s="825">
        <f t="shared" si="8"/>
        <v>45.497645285714285</v>
      </c>
      <c r="I87" s="723"/>
      <c r="J87" s="641"/>
      <c r="K87" s="641"/>
      <c r="L87" s="641"/>
      <c r="M87" s="641"/>
      <c r="N87" s="641"/>
      <c r="O87" s="641"/>
      <c r="P87" s="641"/>
      <c r="Q87" s="641"/>
      <c r="R87" s="641"/>
      <c r="S87" s="641"/>
      <c r="T87" s="641"/>
      <c r="U87" s="641"/>
      <c r="V87" s="641"/>
      <c r="W87" s="641"/>
      <c r="X87" s="641"/>
      <c r="Y87" s="641"/>
      <c r="Z87" s="641"/>
      <c r="AA87" s="641"/>
      <c r="AB87" s="641"/>
      <c r="AC87" s="641"/>
    </row>
    <row r="88" spans="1:29" s="615" customFormat="1">
      <c r="A88" s="732"/>
      <c r="B88" s="733" t="s">
        <v>1293</v>
      </c>
      <c r="C88" s="829">
        <f>C87/C22*1000</f>
        <v>0.393453326459483</v>
      </c>
      <c r="D88" s="830">
        <f>D87/C22*1000</f>
        <v>9.6647828463549246E-2</v>
      </c>
      <c r="E88" s="831">
        <f>E87/C22*1000</f>
        <v>1.6818499564333429</v>
      </c>
      <c r="F88" s="829">
        <f t="shared" si="8"/>
        <v>0.61828379872204475</v>
      </c>
      <c r="G88" s="830">
        <f t="shared" si="8"/>
        <v>0.1518751590141488</v>
      </c>
      <c r="H88" s="831">
        <f t="shared" si="8"/>
        <v>2.6429070743952532</v>
      </c>
      <c r="I88" s="723"/>
      <c r="J88" s="644"/>
      <c r="K88" s="644"/>
      <c r="L88" s="644"/>
      <c r="M88" s="644"/>
      <c r="N88" s="644"/>
      <c r="O88" s="644"/>
      <c r="P88" s="644"/>
      <c r="Q88" s="644"/>
      <c r="R88" s="644"/>
      <c r="S88" s="644"/>
      <c r="T88" s="644"/>
      <c r="U88" s="644"/>
      <c r="V88" s="644"/>
      <c r="W88" s="644"/>
      <c r="X88" s="644"/>
      <c r="Y88" s="644"/>
      <c r="Z88" s="644"/>
      <c r="AA88" s="644"/>
      <c r="AB88" s="644"/>
      <c r="AC88" s="644"/>
    </row>
    <row r="89" spans="1:29">
      <c r="A89" s="732"/>
      <c r="B89" s="733" t="s">
        <v>1294</v>
      </c>
      <c r="C89" s="832">
        <f>C88/VLOOKUP(C19,U44:AF55,12,FALSE)</f>
        <v>2.4138240887084845E-2</v>
      </c>
      <c r="D89" s="833">
        <f>D88/VLOOKUP(C19,U44:AF51,12,FALSE)</f>
        <v>5.9293146296655972E-3</v>
      </c>
      <c r="E89" s="834">
        <f>E88/VLOOKUP(C19,U44:AF51,12,FALSE)</f>
        <v>0.10318097892229097</v>
      </c>
      <c r="F89" s="826">
        <f t="shared" si="8"/>
        <v>3.7931521393990468E-2</v>
      </c>
      <c r="G89" s="827">
        <f t="shared" si="8"/>
        <v>9.317494418045939E-3</v>
      </c>
      <c r="H89" s="828">
        <f t="shared" si="8"/>
        <v>0.16214153830645725</v>
      </c>
      <c r="I89" s="723"/>
    </row>
    <row r="90" spans="1:29">
      <c r="A90" s="732"/>
      <c r="B90" s="733"/>
      <c r="C90" s="733"/>
      <c r="D90" s="733"/>
      <c r="E90" s="733"/>
      <c r="F90" s="733"/>
      <c r="G90" s="733"/>
      <c r="H90" s="733"/>
      <c r="I90" s="723"/>
    </row>
    <row r="91" spans="1:29" ht="14.25">
      <c r="A91" s="809" t="s">
        <v>1337</v>
      </c>
      <c r="B91" s="746"/>
      <c r="C91" s="733"/>
      <c r="D91" s="733"/>
      <c r="E91" s="733"/>
      <c r="F91" s="734">
        <f>F87</f>
        <v>10.643755595</v>
      </c>
      <c r="G91" s="951" t="s">
        <v>838</v>
      </c>
      <c r="H91" s="735"/>
      <c r="I91" s="723"/>
    </row>
    <row r="92" spans="1:29">
      <c r="A92" s="724"/>
      <c r="B92" s="725"/>
      <c r="C92" s="725"/>
      <c r="D92" s="725"/>
      <c r="E92" s="725"/>
      <c r="F92" s="725"/>
      <c r="G92" s="725"/>
      <c r="H92" s="725"/>
      <c r="I92" s="726"/>
    </row>
    <row r="93" spans="1:29">
      <c r="F93" s="645"/>
    </row>
    <row r="94" spans="1:29">
      <c r="A94" s="614"/>
      <c r="B94" s="614"/>
      <c r="C94" s="614"/>
      <c r="D94" s="614"/>
      <c r="E94" s="614"/>
      <c r="F94" s="614"/>
      <c r="G94" s="614"/>
      <c r="H94" s="614"/>
      <c r="I94" s="614"/>
    </row>
  </sheetData>
  <customSheetViews>
    <customSheetView guid="{AD88818B-9F97-4B1E-9426-0DECE603685E}" scale="80" showGridLines="0" fitToPage="1" showRuler="0" topLeftCell="A40">
      <selection activeCell="L59" sqref="L59"/>
      <pageMargins left="0.7" right="0.7" top="0.75" bottom="0.75" header="0.3" footer="0.3"/>
      <headerFooter alignWithMargins="0"/>
    </customSheetView>
    <customSheetView guid="{7EB5D807-CE20-46E2-AEE6-2C193E010EA4}" scale="80" showGridLines="0" fitToPage="1" showRuler="0">
      <selection activeCell="I6" sqref="I6"/>
      <pageMargins left="0.7" right="0.7" top="0.75" bottom="0.75" header="0.3" footer="0.3"/>
      <headerFooter alignWithMargins="0"/>
    </customSheetView>
  </customSheetViews>
  <mergeCells count="18">
    <mergeCell ref="E25:I25"/>
    <mergeCell ref="C62:E62"/>
    <mergeCell ref="F62:H62"/>
    <mergeCell ref="A11:G11"/>
    <mergeCell ref="A12:G12"/>
    <mergeCell ref="A13:G13"/>
    <mergeCell ref="A14:G14"/>
    <mergeCell ref="F54:H54"/>
    <mergeCell ref="C54:E54"/>
    <mergeCell ref="F59:H59"/>
    <mergeCell ref="C59:E59"/>
    <mergeCell ref="C85:E85"/>
    <mergeCell ref="F85:H85"/>
    <mergeCell ref="Z58:AB58"/>
    <mergeCell ref="V62:X62"/>
    <mergeCell ref="V61:X61"/>
    <mergeCell ref="C78:E78"/>
    <mergeCell ref="F78:H78"/>
  </mergeCells>
  <phoneticPr fontId="95" type="noConversion"/>
  <dataValidations count="3">
    <dataValidation type="list" allowBlank="1" showInputMessage="1" showErrorMessage="1" sqref="C25">
      <formula1>$K$25:$M$25</formula1>
    </dataValidation>
    <dataValidation type="list" allowBlank="1" showInputMessage="1" showErrorMessage="1" sqref="C19">
      <formula1>$K$19:$V$19</formula1>
    </dataValidation>
    <dataValidation type="list" allowBlank="1" showInputMessage="1" showErrorMessage="1" sqref="C28">
      <formula1>$J$28:$O$28</formula1>
    </dataValidation>
  </dataValidations>
  <hyperlinks>
    <hyperlink ref="F29" location="LUC!A1" display="Please, calculate this value by using the LUC sheet"/>
    <hyperlink ref="F30" location="Esca!A1" display="or the ESCAsheet for modified practices"/>
  </hyperlinks>
  <pageMargins left="0.75" right="0.75" top="1" bottom="1" header="0" footer="0"/>
  <headerFooter alignWithMargins="0"/>
  <drawing r:id="rId1"/>
  <legacyDrawing r:id="rId2"/>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sheetPr codeName="Лист7"/>
  <dimension ref="A1:AG94"/>
  <sheetViews>
    <sheetView workbookViewId="0">
      <selection activeCell="F17" sqref="F17"/>
    </sheetView>
  </sheetViews>
  <sheetFormatPr defaultColWidth="11.42578125" defaultRowHeight="12.75"/>
  <cols>
    <col min="1" max="1" width="49.7109375" style="1667" customWidth="1"/>
    <col min="2" max="2" width="16.85546875" style="1667" customWidth="1"/>
    <col min="3" max="3" width="15" style="1667" customWidth="1"/>
    <col min="4" max="4" width="12.28515625" style="1667" customWidth="1"/>
    <col min="5" max="5" width="7.140625" style="1667" customWidth="1"/>
    <col min="6" max="6" width="19.7109375" style="1667" customWidth="1"/>
    <col min="7" max="7" width="18.28515625" style="1667" customWidth="1"/>
    <col min="8" max="8" width="9" style="1667" customWidth="1"/>
    <col min="9" max="9" width="12.140625" style="1667" customWidth="1"/>
    <col min="10" max="10" width="6.42578125" style="1667" customWidth="1"/>
    <col min="11" max="11" width="10.7109375" style="1667" customWidth="1"/>
    <col min="12" max="12" width="11.42578125" style="1667"/>
    <col min="13" max="13" width="15.7109375" style="1667" customWidth="1"/>
    <col min="14" max="14" width="13.7109375" style="1667" customWidth="1"/>
    <col min="15" max="15" width="16.7109375" style="1667" customWidth="1"/>
    <col min="16" max="16" width="13.42578125" style="1667" customWidth="1"/>
    <col min="17" max="17" width="11.42578125" style="1667"/>
    <col min="18" max="18" width="16.28515625" style="1667" customWidth="1"/>
    <col min="19" max="19" width="16.42578125" style="1667" bestFit="1" customWidth="1"/>
    <col min="20" max="20" width="17" style="1667" customWidth="1"/>
    <col min="21" max="21" width="16.140625" style="1667" customWidth="1"/>
    <col min="22" max="22" width="16.85546875" style="1667" customWidth="1"/>
    <col min="23" max="23" width="15.42578125" style="1667" customWidth="1"/>
    <col min="24" max="24" width="19.42578125" style="1667" customWidth="1"/>
    <col min="25" max="25" width="14.28515625" style="1667" customWidth="1"/>
    <col min="26" max="26" width="28.42578125" style="1667" customWidth="1"/>
    <col min="27" max="27" width="11.42578125" style="1667"/>
    <col min="28" max="28" width="12.42578125" style="1667" customWidth="1"/>
    <col min="29" max="29" width="11.42578125" style="1667"/>
    <col min="30" max="30" width="12.85546875" style="1666" customWidth="1"/>
    <col min="31" max="32" width="11.42578125" style="1666"/>
    <col min="33" max="33" width="19.85546875" style="1666" customWidth="1"/>
    <col min="34" max="256" width="11.42578125" style="1666"/>
    <col min="257" max="257" width="49.7109375" style="1666" customWidth="1"/>
    <col min="258" max="258" width="16.85546875" style="1666" customWidth="1"/>
    <col min="259" max="259" width="15" style="1666" customWidth="1"/>
    <col min="260" max="260" width="12.28515625" style="1666" customWidth="1"/>
    <col min="261" max="261" width="8.42578125" style="1666" customWidth="1"/>
    <col min="262" max="262" width="14.42578125" style="1666" customWidth="1"/>
    <col min="263" max="263" width="17.42578125" style="1666" customWidth="1"/>
    <col min="264" max="264" width="9" style="1666" customWidth="1"/>
    <col min="265" max="265" width="12.140625" style="1666" customWidth="1"/>
    <col min="266" max="266" width="8.42578125" style="1666" customWidth="1"/>
    <col min="267" max="267" width="12" style="1666" customWidth="1"/>
    <col min="268" max="268" width="11.42578125" style="1666"/>
    <col min="269" max="269" width="11.28515625" style="1666" customWidth="1"/>
    <col min="270" max="270" width="13.7109375" style="1666" customWidth="1"/>
    <col min="271" max="271" width="16.7109375" style="1666" customWidth="1"/>
    <col min="272" max="272" width="13.42578125" style="1666" customWidth="1"/>
    <col min="273" max="273" width="11.42578125" style="1666"/>
    <col min="274" max="274" width="13.7109375" style="1666" customWidth="1"/>
    <col min="275" max="276" width="11.42578125" style="1666"/>
    <col min="277" max="277" width="17.28515625" style="1666" customWidth="1"/>
    <col min="278" max="280" width="11.42578125" style="1666"/>
    <col min="281" max="281" width="12.42578125" style="1666" customWidth="1"/>
    <col min="282" max="282" width="30.85546875" style="1666" customWidth="1"/>
    <col min="283" max="285" width="11.42578125" style="1666"/>
    <col min="286" max="286" width="12.85546875" style="1666" customWidth="1"/>
    <col min="287" max="288" width="11.42578125" style="1666"/>
    <col min="289" max="289" width="19.85546875" style="1666" customWidth="1"/>
    <col min="290" max="512" width="11.42578125" style="1666"/>
    <col min="513" max="513" width="49.7109375" style="1666" customWidth="1"/>
    <col min="514" max="514" width="16.85546875" style="1666" customWidth="1"/>
    <col min="515" max="515" width="15" style="1666" customWidth="1"/>
    <col min="516" max="516" width="12.28515625" style="1666" customWidth="1"/>
    <col min="517" max="517" width="8.42578125" style="1666" customWidth="1"/>
    <col min="518" max="518" width="14.42578125" style="1666" customWidth="1"/>
    <col min="519" max="519" width="17.42578125" style="1666" customWidth="1"/>
    <col min="520" max="520" width="9" style="1666" customWidth="1"/>
    <col min="521" max="521" width="12.140625" style="1666" customWidth="1"/>
    <col min="522" max="522" width="8.42578125" style="1666" customWidth="1"/>
    <col min="523" max="523" width="12" style="1666" customWidth="1"/>
    <col min="524" max="524" width="11.42578125" style="1666"/>
    <col min="525" max="525" width="11.28515625" style="1666" customWidth="1"/>
    <col min="526" max="526" width="13.7109375" style="1666" customWidth="1"/>
    <col min="527" max="527" width="16.7109375" style="1666" customWidth="1"/>
    <col min="528" max="528" width="13.42578125" style="1666" customWidth="1"/>
    <col min="529" max="529" width="11.42578125" style="1666"/>
    <col min="530" max="530" width="13.7109375" style="1666" customWidth="1"/>
    <col min="531" max="532" width="11.42578125" style="1666"/>
    <col min="533" max="533" width="17.28515625" style="1666" customWidth="1"/>
    <col min="534" max="536" width="11.42578125" style="1666"/>
    <col min="537" max="537" width="12.42578125" style="1666" customWidth="1"/>
    <col min="538" max="538" width="30.85546875" style="1666" customWidth="1"/>
    <col min="539" max="541" width="11.42578125" style="1666"/>
    <col min="542" max="542" width="12.85546875" style="1666" customWidth="1"/>
    <col min="543" max="544" width="11.42578125" style="1666"/>
    <col min="545" max="545" width="19.85546875" style="1666" customWidth="1"/>
    <col min="546" max="768" width="11.42578125" style="1666"/>
    <col min="769" max="769" width="49.7109375" style="1666" customWidth="1"/>
    <col min="770" max="770" width="16.85546875" style="1666" customWidth="1"/>
    <col min="771" max="771" width="15" style="1666" customWidth="1"/>
    <col min="772" max="772" width="12.28515625" style="1666" customWidth="1"/>
    <col min="773" max="773" width="8.42578125" style="1666" customWidth="1"/>
    <col min="774" max="774" width="14.42578125" style="1666" customWidth="1"/>
    <col min="775" max="775" width="17.42578125" style="1666" customWidth="1"/>
    <col min="776" max="776" width="9" style="1666" customWidth="1"/>
    <col min="777" max="777" width="12.140625" style="1666" customWidth="1"/>
    <col min="778" max="778" width="8.42578125" style="1666" customWidth="1"/>
    <col min="779" max="779" width="12" style="1666" customWidth="1"/>
    <col min="780" max="780" width="11.42578125" style="1666"/>
    <col min="781" max="781" width="11.28515625" style="1666" customWidth="1"/>
    <col min="782" max="782" width="13.7109375" style="1666" customWidth="1"/>
    <col min="783" max="783" width="16.7109375" style="1666" customWidth="1"/>
    <col min="784" max="784" width="13.42578125" style="1666" customWidth="1"/>
    <col min="785" max="785" width="11.42578125" style="1666"/>
    <col min="786" max="786" width="13.7109375" style="1666" customWidth="1"/>
    <col min="787" max="788" width="11.42578125" style="1666"/>
    <col min="789" max="789" width="17.28515625" style="1666" customWidth="1"/>
    <col min="790" max="792" width="11.42578125" style="1666"/>
    <col min="793" max="793" width="12.42578125" style="1666" customWidth="1"/>
    <col min="794" max="794" width="30.85546875" style="1666" customWidth="1"/>
    <col min="795" max="797" width="11.42578125" style="1666"/>
    <col min="798" max="798" width="12.85546875" style="1666" customWidth="1"/>
    <col min="799" max="800" width="11.42578125" style="1666"/>
    <col min="801" max="801" width="19.85546875" style="1666" customWidth="1"/>
    <col min="802" max="1024" width="11.42578125" style="1666"/>
    <col min="1025" max="1025" width="49.7109375" style="1666" customWidth="1"/>
    <col min="1026" max="1026" width="16.85546875" style="1666" customWidth="1"/>
    <col min="1027" max="1027" width="15" style="1666" customWidth="1"/>
    <col min="1028" max="1028" width="12.28515625" style="1666" customWidth="1"/>
    <col min="1029" max="1029" width="8.42578125" style="1666" customWidth="1"/>
    <col min="1030" max="1030" width="14.42578125" style="1666" customWidth="1"/>
    <col min="1031" max="1031" width="17.42578125" style="1666" customWidth="1"/>
    <col min="1032" max="1032" width="9" style="1666" customWidth="1"/>
    <col min="1033" max="1033" width="12.140625" style="1666" customWidth="1"/>
    <col min="1034" max="1034" width="8.42578125" style="1666" customWidth="1"/>
    <col min="1035" max="1035" width="12" style="1666" customWidth="1"/>
    <col min="1036" max="1036" width="11.42578125" style="1666"/>
    <col min="1037" max="1037" width="11.28515625" style="1666" customWidth="1"/>
    <col min="1038" max="1038" width="13.7109375" style="1666" customWidth="1"/>
    <col min="1039" max="1039" width="16.7109375" style="1666" customWidth="1"/>
    <col min="1040" max="1040" width="13.42578125" style="1666" customWidth="1"/>
    <col min="1041" max="1041" width="11.42578125" style="1666"/>
    <col min="1042" max="1042" width="13.7109375" style="1666" customWidth="1"/>
    <col min="1043" max="1044" width="11.42578125" style="1666"/>
    <col min="1045" max="1045" width="17.28515625" style="1666" customWidth="1"/>
    <col min="1046" max="1048" width="11.42578125" style="1666"/>
    <col min="1049" max="1049" width="12.42578125" style="1666" customWidth="1"/>
    <col min="1050" max="1050" width="30.85546875" style="1666" customWidth="1"/>
    <col min="1051" max="1053" width="11.42578125" style="1666"/>
    <col min="1054" max="1054" width="12.85546875" style="1666" customWidth="1"/>
    <col min="1055" max="1056" width="11.42578125" style="1666"/>
    <col min="1057" max="1057" width="19.85546875" style="1666" customWidth="1"/>
    <col min="1058" max="1280" width="11.42578125" style="1666"/>
    <col min="1281" max="1281" width="49.7109375" style="1666" customWidth="1"/>
    <col min="1282" max="1282" width="16.85546875" style="1666" customWidth="1"/>
    <col min="1283" max="1283" width="15" style="1666" customWidth="1"/>
    <col min="1284" max="1284" width="12.28515625" style="1666" customWidth="1"/>
    <col min="1285" max="1285" width="8.42578125" style="1666" customWidth="1"/>
    <col min="1286" max="1286" width="14.42578125" style="1666" customWidth="1"/>
    <col min="1287" max="1287" width="17.42578125" style="1666" customWidth="1"/>
    <col min="1288" max="1288" width="9" style="1666" customWidth="1"/>
    <col min="1289" max="1289" width="12.140625" style="1666" customWidth="1"/>
    <col min="1290" max="1290" width="8.42578125" style="1666" customWidth="1"/>
    <col min="1291" max="1291" width="12" style="1666" customWidth="1"/>
    <col min="1292" max="1292" width="11.42578125" style="1666"/>
    <col min="1293" max="1293" width="11.28515625" style="1666" customWidth="1"/>
    <col min="1294" max="1294" width="13.7109375" style="1666" customWidth="1"/>
    <col min="1295" max="1295" width="16.7109375" style="1666" customWidth="1"/>
    <col min="1296" max="1296" width="13.42578125" style="1666" customWidth="1"/>
    <col min="1297" max="1297" width="11.42578125" style="1666"/>
    <col min="1298" max="1298" width="13.7109375" style="1666" customWidth="1"/>
    <col min="1299" max="1300" width="11.42578125" style="1666"/>
    <col min="1301" max="1301" width="17.28515625" style="1666" customWidth="1"/>
    <col min="1302" max="1304" width="11.42578125" style="1666"/>
    <col min="1305" max="1305" width="12.42578125" style="1666" customWidth="1"/>
    <col min="1306" max="1306" width="30.85546875" style="1666" customWidth="1"/>
    <col min="1307" max="1309" width="11.42578125" style="1666"/>
    <col min="1310" max="1310" width="12.85546875" style="1666" customWidth="1"/>
    <col min="1311" max="1312" width="11.42578125" style="1666"/>
    <col min="1313" max="1313" width="19.85546875" style="1666" customWidth="1"/>
    <col min="1314" max="1536" width="11.42578125" style="1666"/>
    <col min="1537" max="1537" width="49.7109375" style="1666" customWidth="1"/>
    <col min="1538" max="1538" width="16.85546875" style="1666" customWidth="1"/>
    <col min="1539" max="1539" width="15" style="1666" customWidth="1"/>
    <col min="1540" max="1540" width="12.28515625" style="1666" customWidth="1"/>
    <col min="1541" max="1541" width="8.42578125" style="1666" customWidth="1"/>
    <col min="1542" max="1542" width="14.42578125" style="1666" customWidth="1"/>
    <col min="1543" max="1543" width="17.42578125" style="1666" customWidth="1"/>
    <col min="1544" max="1544" width="9" style="1666" customWidth="1"/>
    <col min="1545" max="1545" width="12.140625" style="1666" customWidth="1"/>
    <col min="1546" max="1546" width="8.42578125" style="1666" customWidth="1"/>
    <col min="1547" max="1547" width="12" style="1666" customWidth="1"/>
    <col min="1548" max="1548" width="11.42578125" style="1666"/>
    <col min="1549" max="1549" width="11.28515625" style="1666" customWidth="1"/>
    <col min="1550" max="1550" width="13.7109375" style="1666" customWidth="1"/>
    <col min="1551" max="1551" width="16.7109375" style="1666" customWidth="1"/>
    <col min="1552" max="1552" width="13.42578125" style="1666" customWidth="1"/>
    <col min="1553" max="1553" width="11.42578125" style="1666"/>
    <col min="1554" max="1554" width="13.7109375" style="1666" customWidth="1"/>
    <col min="1555" max="1556" width="11.42578125" style="1666"/>
    <col min="1557" max="1557" width="17.28515625" style="1666" customWidth="1"/>
    <col min="1558" max="1560" width="11.42578125" style="1666"/>
    <col min="1561" max="1561" width="12.42578125" style="1666" customWidth="1"/>
    <col min="1562" max="1562" width="30.85546875" style="1666" customWidth="1"/>
    <col min="1563" max="1565" width="11.42578125" style="1666"/>
    <col min="1566" max="1566" width="12.85546875" style="1666" customWidth="1"/>
    <col min="1567" max="1568" width="11.42578125" style="1666"/>
    <col min="1569" max="1569" width="19.85546875" style="1666" customWidth="1"/>
    <col min="1570" max="1792" width="11.42578125" style="1666"/>
    <col min="1793" max="1793" width="49.7109375" style="1666" customWidth="1"/>
    <col min="1794" max="1794" width="16.85546875" style="1666" customWidth="1"/>
    <col min="1795" max="1795" width="15" style="1666" customWidth="1"/>
    <col min="1796" max="1796" width="12.28515625" style="1666" customWidth="1"/>
    <col min="1797" max="1797" width="8.42578125" style="1666" customWidth="1"/>
    <col min="1798" max="1798" width="14.42578125" style="1666" customWidth="1"/>
    <col min="1799" max="1799" width="17.42578125" style="1666" customWidth="1"/>
    <col min="1800" max="1800" width="9" style="1666" customWidth="1"/>
    <col min="1801" max="1801" width="12.140625" style="1666" customWidth="1"/>
    <col min="1802" max="1802" width="8.42578125" style="1666" customWidth="1"/>
    <col min="1803" max="1803" width="12" style="1666" customWidth="1"/>
    <col min="1804" max="1804" width="11.42578125" style="1666"/>
    <col min="1805" max="1805" width="11.28515625" style="1666" customWidth="1"/>
    <col min="1806" max="1806" width="13.7109375" style="1666" customWidth="1"/>
    <col min="1807" max="1807" width="16.7109375" style="1666" customWidth="1"/>
    <col min="1808" max="1808" width="13.42578125" style="1666" customWidth="1"/>
    <col min="1809" max="1809" width="11.42578125" style="1666"/>
    <col min="1810" max="1810" width="13.7109375" style="1666" customWidth="1"/>
    <col min="1811" max="1812" width="11.42578125" style="1666"/>
    <col min="1813" max="1813" width="17.28515625" style="1666" customWidth="1"/>
    <col min="1814" max="1816" width="11.42578125" style="1666"/>
    <col min="1817" max="1817" width="12.42578125" style="1666" customWidth="1"/>
    <col min="1818" max="1818" width="30.85546875" style="1666" customWidth="1"/>
    <col min="1819" max="1821" width="11.42578125" style="1666"/>
    <col min="1822" max="1822" width="12.85546875" style="1666" customWidth="1"/>
    <col min="1823" max="1824" width="11.42578125" style="1666"/>
    <col min="1825" max="1825" width="19.85546875" style="1666" customWidth="1"/>
    <col min="1826" max="2048" width="11.42578125" style="1666"/>
    <col min="2049" max="2049" width="49.7109375" style="1666" customWidth="1"/>
    <col min="2050" max="2050" width="16.85546875" style="1666" customWidth="1"/>
    <col min="2051" max="2051" width="15" style="1666" customWidth="1"/>
    <col min="2052" max="2052" width="12.28515625" style="1666" customWidth="1"/>
    <col min="2053" max="2053" width="8.42578125" style="1666" customWidth="1"/>
    <col min="2054" max="2054" width="14.42578125" style="1666" customWidth="1"/>
    <col min="2055" max="2055" width="17.42578125" style="1666" customWidth="1"/>
    <col min="2056" max="2056" width="9" style="1666" customWidth="1"/>
    <col min="2057" max="2057" width="12.140625" style="1666" customWidth="1"/>
    <col min="2058" max="2058" width="8.42578125" style="1666" customWidth="1"/>
    <col min="2059" max="2059" width="12" style="1666" customWidth="1"/>
    <col min="2060" max="2060" width="11.42578125" style="1666"/>
    <col min="2061" max="2061" width="11.28515625" style="1666" customWidth="1"/>
    <col min="2062" max="2062" width="13.7109375" style="1666" customWidth="1"/>
    <col min="2063" max="2063" width="16.7109375" style="1666" customWidth="1"/>
    <col min="2064" max="2064" width="13.42578125" style="1666" customWidth="1"/>
    <col min="2065" max="2065" width="11.42578125" style="1666"/>
    <col min="2066" max="2066" width="13.7109375" style="1666" customWidth="1"/>
    <col min="2067" max="2068" width="11.42578125" style="1666"/>
    <col min="2069" max="2069" width="17.28515625" style="1666" customWidth="1"/>
    <col min="2070" max="2072" width="11.42578125" style="1666"/>
    <col min="2073" max="2073" width="12.42578125" style="1666" customWidth="1"/>
    <col min="2074" max="2074" width="30.85546875" style="1666" customWidth="1"/>
    <col min="2075" max="2077" width="11.42578125" style="1666"/>
    <col min="2078" max="2078" width="12.85546875" style="1666" customWidth="1"/>
    <col min="2079" max="2080" width="11.42578125" style="1666"/>
    <col min="2081" max="2081" width="19.85546875" style="1666" customWidth="1"/>
    <col min="2082" max="2304" width="11.42578125" style="1666"/>
    <col min="2305" max="2305" width="49.7109375" style="1666" customWidth="1"/>
    <col min="2306" max="2306" width="16.85546875" style="1666" customWidth="1"/>
    <col min="2307" max="2307" width="15" style="1666" customWidth="1"/>
    <col min="2308" max="2308" width="12.28515625" style="1666" customWidth="1"/>
    <col min="2309" max="2309" width="8.42578125" style="1666" customWidth="1"/>
    <col min="2310" max="2310" width="14.42578125" style="1666" customWidth="1"/>
    <col min="2311" max="2311" width="17.42578125" style="1666" customWidth="1"/>
    <col min="2312" max="2312" width="9" style="1666" customWidth="1"/>
    <col min="2313" max="2313" width="12.140625" style="1666" customWidth="1"/>
    <col min="2314" max="2314" width="8.42578125" style="1666" customWidth="1"/>
    <col min="2315" max="2315" width="12" style="1666" customWidth="1"/>
    <col min="2316" max="2316" width="11.42578125" style="1666"/>
    <col min="2317" max="2317" width="11.28515625" style="1666" customWidth="1"/>
    <col min="2318" max="2318" width="13.7109375" style="1666" customWidth="1"/>
    <col min="2319" max="2319" width="16.7109375" style="1666" customWidth="1"/>
    <col min="2320" max="2320" width="13.42578125" style="1666" customWidth="1"/>
    <col min="2321" max="2321" width="11.42578125" style="1666"/>
    <col min="2322" max="2322" width="13.7109375" style="1666" customWidth="1"/>
    <col min="2323" max="2324" width="11.42578125" style="1666"/>
    <col min="2325" max="2325" width="17.28515625" style="1666" customWidth="1"/>
    <col min="2326" max="2328" width="11.42578125" style="1666"/>
    <col min="2329" max="2329" width="12.42578125" style="1666" customWidth="1"/>
    <col min="2330" max="2330" width="30.85546875" style="1666" customWidth="1"/>
    <col min="2331" max="2333" width="11.42578125" style="1666"/>
    <col min="2334" max="2334" width="12.85546875" style="1666" customWidth="1"/>
    <col min="2335" max="2336" width="11.42578125" style="1666"/>
    <col min="2337" max="2337" width="19.85546875" style="1666" customWidth="1"/>
    <col min="2338" max="2560" width="11.42578125" style="1666"/>
    <col min="2561" max="2561" width="49.7109375" style="1666" customWidth="1"/>
    <col min="2562" max="2562" width="16.85546875" style="1666" customWidth="1"/>
    <col min="2563" max="2563" width="15" style="1666" customWidth="1"/>
    <col min="2564" max="2564" width="12.28515625" style="1666" customWidth="1"/>
    <col min="2565" max="2565" width="8.42578125" style="1666" customWidth="1"/>
    <col min="2566" max="2566" width="14.42578125" style="1666" customWidth="1"/>
    <col min="2567" max="2567" width="17.42578125" style="1666" customWidth="1"/>
    <col min="2568" max="2568" width="9" style="1666" customWidth="1"/>
    <col min="2569" max="2569" width="12.140625" style="1666" customWidth="1"/>
    <col min="2570" max="2570" width="8.42578125" style="1666" customWidth="1"/>
    <col min="2571" max="2571" width="12" style="1666" customWidth="1"/>
    <col min="2572" max="2572" width="11.42578125" style="1666"/>
    <col min="2573" max="2573" width="11.28515625" style="1666" customWidth="1"/>
    <col min="2574" max="2574" width="13.7109375" style="1666" customWidth="1"/>
    <col min="2575" max="2575" width="16.7109375" style="1666" customWidth="1"/>
    <col min="2576" max="2576" width="13.42578125" style="1666" customWidth="1"/>
    <col min="2577" max="2577" width="11.42578125" style="1666"/>
    <col min="2578" max="2578" width="13.7109375" style="1666" customWidth="1"/>
    <col min="2579" max="2580" width="11.42578125" style="1666"/>
    <col min="2581" max="2581" width="17.28515625" style="1666" customWidth="1"/>
    <col min="2582" max="2584" width="11.42578125" style="1666"/>
    <col min="2585" max="2585" width="12.42578125" style="1666" customWidth="1"/>
    <col min="2586" max="2586" width="30.85546875" style="1666" customWidth="1"/>
    <col min="2587" max="2589" width="11.42578125" style="1666"/>
    <col min="2590" max="2590" width="12.85546875" style="1666" customWidth="1"/>
    <col min="2591" max="2592" width="11.42578125" style="1666"/>
    <col min="2593" max="2593" width="19.85546875" style="1666" customWidth="1"/>
    <col min="2594" max="2816" width="11.42578125" style="1666"/>
    <col min="2817" max="2817" width="49.7109375" style="1666" customWidth="1"/>
    <col min="2818" max="2818" width="16.85546875" style="1666" customWidth="1"/>
    <col min="2819" max="2819" width="15" style="1666" customWidth="1"/>
    <col min="2820" max="2820" width="12.28515625" style="1666" customWidth="1"/>
    <col min="2821" max="2821" width="8.42578125" style="1666" customWidth="1"/>
    <col min="2822" max="2822" width="14.42578125" style="1666" customWidth="1"/>
    <col min="2823" max="2823" width="17.42578125" style="1666" customWidth="1"/>
    <col min="2824" max="2824" width="9" style="1666" customWidth="1"/>
    <col min="2825" max="2825" width="12.140625" style="1666" customWidth="1"/>
    <col min="2826" max="2826" width="8.42578125" style="1666" customWidth="1"/>
    <col min="2827" max="2827" width="12" style="1666" customWidth="1"/>
    <col min="2828" max="2828" width="11.42578125" style="1666"/>
    <col min="2829" max="2829" width="11.28515625" style="1666" customWidth="1"/>
    <col min="2830" max="2830" width="13.7109375" style="1666" customWidth="1"/>
    <col min="2831" max="2831" width="16.7109375" style="1666" customWidth="1"/>
    <col min="2832" max="2832" width="13.42578125" style="1666" customWidth="1"/>
    <col min="2833" max="2833" width="11.42578125" style="1666"/>
    <col min="2834" max="2834" width="13.7109375" style="1666" customWidth="1"/>
    <col min="2835" max="2836" width="11.42578125" style="1666"/>
    <col min="2837" max="2837" width="17.28515625" style="1666" customWidth="1"/>
    <col min="2838" max="2840" width="11.42578125" style="1666"/>
    <col min="2841" max="2841" width="12.42578125" style="1666" customWidth="1"/>
    <col min="2842" max="2842" width="30.85546875" style="1666" customWidth="1"/>
    <col min="2843" max="2845" width="11.42578125" style="1666"/>
    <col min="2846" max="2846" width="12.85546875" style="1666" customWidth="1"/>
    <col min="2847" max="2848" width="11.42578125" style="1666"/>
    <col min="2849" max="2849" width="19.85546875" style="1666" customWidth="1"/>
    <col min="2850" max="3072" width="11.42578125" style="1666"/>
    <col min="3073" max="3073" width="49.7109375" style="1666" customWidth="1"/>
    <col min="3074" max="3074" width="16.85546875" style="1666" customWidth="1"/>
    <col min="3075" max="3075" width="15" style="1666" customWidth="1"/>
    <col min="3076" max="3076" width="12.28515625" style="1666" customWidth="1"/>
    <col min="3077" max="3077" width="8.42578125" style="1666" customWidth="1"/>
    <col min="3078" max="3078" width="14.42578125" style="1666" customWidth="1"/>
    <col min="3079" max="3079" width="17.42578125" style="1666" customWidth="1"/>
    <col min="3080" max="3080" width="9" style="1666" customWidth="1"/>
    <col min="3081" max="3081" width="12.140625" style="1666" customWidth="1"/>
    <col min="3082" max="3082" width="8.42578125" style="1666" customWidth="1"/>
    <col min="3083" max="3083" width="12" style="1666" customWidth="1"/>
    <col min="3084" max="3084" width="11.42578125" style="1666"/>
    <col min="3085" max="3085" width="11.28515625" style="1666" customWidth="1"/>
    <col min="3086" max="3086" width="13.7109375" style="1666" customWidth="1"/>
    <col min="3087" max="3087" width="16.7109375" style="1666" customWidth="1"/>
    <col min="3088" max="3088" width="13.42578125" style="1666" customWidth="1"/>
    <col min="3089" max="3089" width="11.42578125" style="1666"/>
    <col min="3090" max="3090" width="13.7109375" style="1666" customWidth="1"/>
    <col min="3091" max="3092" width="11.42578125" style="1666"/>
    <col min="3093" max="3093" width="17.28515625" style="1666" customWidth="1"/>
    <col min="3094" max="3096" width="11.42578125" style="1666"/>
    <col min="3097" max="3097" width="12.42578125" style="1666" customWidth="1"/>
    <col min="3098" max="3098" width="30.85546875" style="1666" customWidth="1"/>
    <col min="3099" max="3101" width="11.42578125" style="1666"/>
    <col min="3102" max="3102" width="12.85546875" style="1666" customWidth="1"/>
    <col min="3103" max="3104" width="11.42578125" style="1666"/>
    <col min="3105" max="3105" width="19.85546875" style="1666" customWidth="1"/>
    <col min="3106" max="3328" width="11.42578125" style="1666"/>
    <col min="3329" max="3329" width="49.7109375" style="1666" customWidth="1"/>
    <col min="3330" max="3330" width="16.85546875" style="1666" customWidth="1"/>
    <col min="3331" max="3331" width="15" style="1666" customWidth="1"/>
    <col min="3332" max="3332" width="12.28515625" style="1666" customWidth="1"/>
    <col min="3333" max="3333" width="8.42578125" style="1666" customWidth="1"/>
    <col min="3334" max="3334" width="14.42578125" style="1666" customWidth="1"/>
    <col min="3335" max="3335" width="17.42578125" style="1666" customWidth="1"/>
    <col min="3336" max="3336" width="9" style="1666" customWidth="1"/>
    <col min="3337" max="3337" width="12.140625" style="1666" customWidth="1"/>
    <col min="3338" max="3338" width="8.42578125" style="1666" customWidth="1"/>
    <col min="3339" max="3339" width="12" style="1666" customWidth="1"/>
    <col min="3340" max="3340" width="11.42578125" style="1666"/>
    <col min="3341" max="3341" width="11.28515625" style="1666" customWidth="1"/>
    <col min="3342" max="3342" width="13.7109375" style="1666" customWidth="1"/>
    <col min="3343" max="3343" width="16.7109375" style="1666" customWidth="1"/>
    <col min="3344" max="3344" width="13.42578125" style="1666" customWidth="1"/>
    <col min="3345" max="3345" width="11.42578125" style="1666"/>
    <col min="3346" max="3346" width="13.7109375" style="1666" customWidth="1"/>
    <col min="3347" max="3348" width="11.42578125" style="1666"/>
    <col min="3349" max="3349" width="17.28515625" style="1666" customWidth="1"/>
    <col min="3350" max="3352" width="11.42578125" style="1666"/>
    <col min="3353" max="3353" width="12.42578125" style="1666" customWidth="1"/>
    <col min="3354" max="3354" width="30.85546875" style="1666" customWidth="1"/>
    <col min="3355" max="3357" width="11.42578125" style="1666"/>
    <col min="3358" max="3358" width="12.85546875" style="1666" customWidth="1"/>
    <col min="3359" max="3360" width="11.42578125" style="1666"/>
    <col min="3361" max="3361" width="19.85546875" style="1666" customWidth="1"/>
    <col min="3362" max="3584" width="11.42578125" style="1666"/>
    <col min="3585" max="3585" width="49.7109375" style="1666" customWidth="1"/>
    <col min="3586" max="3586" width="16.85546875" style="1666" customWidth="1"/>
    <col min="3587" max="3587" width="15" style="1666" customWidth="1"/>
    <col min="3588" max="3588" width="12.28515625" style="1666" customWidth="1"/>
    <col min="3589" max="3589" width="8.42578125" style="1666" customWidth="1"/>
    <col min="3590" max="3590" width="14.42578125" style="1666" customWidth="1"/>
    <col min="3591" max="3591" width="17.42578125" style="1666" customWidth="1"/>
    <col min="3592" max="3592" width="9" style="1666" customWidth="1"/>
    <col min="3593" max="3593" width="12.140625" style="1666" customWidth="1"/>
    <col min="3594" max="3594" width="8.42578125" style="1666" customWidth="1"/>
    <col min="3595" max="3595" width="12" style="1666" customWidth="1"/>
    <col min="3596" max="3596" width="11.42578125" style="1666"/>
    <col min="3597" max="3597" width="11.28515625" style="1666" customWidth="1"/>
    <col min="3598" max="3598" width="13.7109375" style="1666" customWidth="1"/>
    <col min="3599" max="3599" width="16.7109375" style="1666" customWidth="1"/>
    <col min="3600" max="3600" width="13.42578125" style="1666" customWidth="1"/>
    <col min="3601" max="3601" width="11.42578125" style="1666"/>
    <col min="3602" max="3602" width="13.7109375" style="1666" customWidth="1"/>
    <col min="3603" max="3604" width="11.42578125" style="1666"/>
    <col min="3605" max="3605" width="17.28515625" style="1666" customWidth="1"/>
    <col min="3606" max="3608" width="11.42578125" style="1666"/>
    <col min="3609" max="3609" width="12.42578125" style="1666" customWidth="1"/>
    <col min="3610" max="3610" width="30.85546875" style="1666" customWidth="1"/>
    <col min="3611" max="3613" width="11.42578125" style="1666"/>
    <col min="3614" max="3614" width="12.85546875" style="1666" customWidth="1"/>
    <col min="3615" max="3616" width="11.42578125" style="1666"/>
    <col min="3617" max="3617" width="19.85546875" style="1666" customWidth="1"/>
    <col min="3618" max="3840" width="11.42578125" style="1666"/>
    <col min="3841" max="3841" width="49.7109375" style="1666" customWidth="1"/>
    <col min="3842" max="3842" width="16.85546875" style="1666" customWidth="1"/>
    <col min="3843" max="3843" width="15" style="1666" customWidth="1"/>
    <col min="3844" max="3844" width="12.28515625" style="1666" customWidth="1"/>
    <col min="3845" max="3845" width="8.42578125" style="1666" customWidth="1"/>
    <col min="3846" max="3846" width="14.42578125" style="1666" customWidth="1"/>
    <col min="3847" max="3847" width="17.42578125" style="1666" customWidth="1"/>
    <col min="3848" max="3848" width="9" style="1666" customWidth="1"/>
    <col min="3849" max="3849" width="12.140625" style="1666" customWidth="1"/>
    <col min="3850" max="3850" width="8.42578125" style="1666" customWidth="1"/>
    <col min="3851" max="3851" width="12" style="1666" customWidth="1"/>
    <col min="3852" max="3852" width="11.42578125" style="1666"/>
    <col min="3853" max="3853" width="11.28515625" style="1666" customWidth="1"/>
    <col min="3854" max="3854" width="13.7109375" style="1666" customWidth="1"/>
    <col min="3855" max="3855" width="16.7109375" style="1666" customWidth="1"/>
    <col min="3856" max="3856" width="13.42578125" style="1666" customWidth="1"/>
    <col min="3857" max="3857" width="11.42578125" style="1666"/>
    <col min="3858" max="3858" width="13.7109375" style="1666" customWidth="1"/>
    <col min="3859" max="3860" width="11.42578125" style="1666"/>
    <col min="3861" max="3861" width="17.28515625" style="1666" customWidth="1"/>
    <col min="3862" max="3864" width="11.42578125" style="1666"/>
    <col min="3865" max="3865" width="12.42578125" style="1666" customWidth="1"/>
    <col min="3866" max="3866" width="30.85546875" style="1666" customWidth="1"/>
    <col min="3867" max="3869" width="11.42578125" style="1666"/>
    <col min="3870" max="3870" width="12.85546875" style="1666" customWidth="1"/>
    <col min="3871" max="3872" width="11.42578125" style="1666"/>
    <col min="3873" max="3873" width="19.85546875" style="1666" customWidth="1"/>
    <col min="3874" max="4096" width="11.42578125" style="1666"/>
    <col min="4097" max="4097" width="49.7109375" style="1666" customWidth="1"/>
    <col min="4098" max="4098" width="16.85546875" style="1666" customWidth="1"/>
    <col min="4099" max="4099" width="15" style="1666" customWidth="1"/>
    <col min="4100" max="4100" width="12.28515625" style="1666" customWidth="1"/>
    <col min="4101" max="4101" width="8.42578125" style="1666" customWidth="1"/>
    <col min="4102" max="4102" width="14.42578125" style="1666" customWidth="1"/>
    <col min="4103" max="4103" width="17.42578125" style="1666" customWidth="1"/>
    <col min="4104" max="4104" width="9" style="1666" customWidth="1"/>
    <col min="4105" max="4105" width="12.140625" style="1666" customWidth="1"/>
    <col min="4106" max="4106" width="8.42578125" style="1666" customWidth="1"/>
    <col min="4107" max="4107" width="12" style="1666" customWidth="1"/>
    <col min="4108" max="4108" width="11.42578125" style="1666"/>
    <col min="4109" max="4109" width="11.28515625" style="1666" customWidth="1"/>
    <col min="4110" max="4110" width="13.7109375" style="1666" customWidth="1"/>
    <col min="4111" max="4111" width="16.7109375" style="1666" customWidth="1"/>
    <col min="4112" max="4112" width="13.42578125" style="1666" customWidth="1"/>
    <col min="4113" max="4113" width="11.42578125" style="1666"/>
    <col min="4114" max="4114" width="13.7109375" style="1666" customWidth="1"/>
    <col min="4115" max="4116" width="11.42578125" style="1666"/>
    <col min="4117" max="4117" width="17.28515625" style="1666" customWidth="1"/>
    <col min="4118" max="4120" width="11.42578125" style="1666"/>
    <col min="4121" max="4121" width="12.42578125" style="1666" customWidth="1"/>
    <col min="4122" max="4122" width="30.85546875" style="1666" customWidth="1"/>
    <col min="4123" max="4125" width="11.42578125" style="1666"/>
    <col min="4126" max="4126" width="12.85546875" style="1666" customWidth="1"/>
    <col min="4127" max="4128" width="11.42578125" style="1666"/>
    <col min="4129" max="4129" width="19.85546875" style="1666" customWidth="1"/>
    <col min="4130" max="4352" width="11.42578125" style="1666"/>
    <col min="4353" max="4353" width="49.7109375" style="1666" customWidth="1"/>
    <col min="4354" max="4354" width="16.85546875" style="1666" customWidth="1"/>
    <col min="4355" max="4355" width="15" style="1666" customWidth="1"/>
    <col min="4356" max="4356" width="12.28515625" style="1666" customWidth="1"/>
    <col min="4357" max="4357" width="8.42578125" style="1666" customWidth="1"/>
    <col min="4358" max="4358" width="14.42578125" style="1666" customWidth="1"/>
    <col min="4359" max="4359" width="17.42578125" style="1666" customWidth="1"/>
    <col min="4360" max="4360" width="9" style="1666" customWidth="1"/>
    <col min="4361" max="4361" width="12.140625" style="1666" customWidth="1"/>
    <col min="4362" max="4362" width="8.42578125" style="1666" customWidth="1"/>
    <col min="4363" max="4363" width="12" style="1666" customWidth="1"/>
    <col min="4364" max="4364" width="11.42578125" style="1666"/>
    <col min="4365" max="4365" width="11.28515625" style="1666" customWidth="1"/>
    <col min="4366" max="4366" width="13.7109375" style="1666" customWidth="1"/>
    <col min="4367" max="4367" width="16.7109375" style="1666" customWidth="1"/>
    <col min="4368" max="4368" width="13.42578125" style="1666" customWidth="1"/>
    <col min="4369" max="4369" width="11.42578125" style="1666"/>
    <col min="4370" max="4370" width="13.7109375" style="1666" customWidth="1"/>
    <col min="4371" max="4372" width="11.42578125" style="1666"/>
    <col min="4373" max="4373" width="17.28515625" style="1666" customWidth="1"/>
    <col min="4374" max="4376" width="11.42578125" style="1666"/>
    <col min="4377" max="4377" width="12.42578125" style="1666" customWidth="1"/>
    <col min="4378" max="4378" width="30.85546875" style="1666" customWidth="1"/>
    <col min="4379" max="4381" width="11.42578125" style="1666"/>
    <col min="4382" max="4382" width="12.85546875" style="1666" customWidth="1"/>
    <col min="4383" max="4384" width="11.42578125" style="1666"/>
    <col min="4385" max="4385" width="19.85546875" style="1666" customWidth="1"/>
    <col min="4386" max="4608" width="11.42578125" style="1666"/>
    <col min="4609" max="4609" width="49.7109375" style="1666" customWidth="1"/>
    <col min="4610" max="4610" width="16.85546875" style="1666" customWidth="1"/>
    <col min="4611" max="4611" width="15" style="1666" customWidth="1"/>
    <col min="4612" max="4612" width="12.28515625" style="1666" customWidth="1"/>
    <col min="4613" max="4613" width="8.42578125" style="1666" customWidth="1"/>
    <col min="4614" max="4614" width="14.42578125" style="1666" customWidth="1"/>
    <col min="4615" max="4615" width="17.42578125" style="1666" customWidth="1"/>
    <col min="4616" max="4616" width="9" style="1666" customWidth="1"/>
    <col min="4617" max="4617" width="12.140625" style="1666" customWidth="1"/>
    <col min="4618" max="4618" width="8.42578125" style="1666" customWidth="1"/>
    <col min="4619" max="4619" width="12" style="1666" customWidth="1"/>
    <col min="4620" max="4620" width="11.42578125" style="1666"/>
    <col min="4621" max="4621" width="11.28515625" style="1666" customWidth="1"/>
    <col min="4622" max="4622" width="13.7109375" style="1666" customWidth="1"/>
    <col min="4623" max="4623" width="16.7109375" style="1666" customWidth="1"/>
    <col min="4624" max="4624" width="13.42578125" style="1666" customWidth="1"/>
    <col min="4625" max="4625" width="11.42578125" style="1666"/>
    <col min="4626" max="4626" width="13.7109375" style="1666" customWidth="1"/>
    <col min="4627" max="4628" width="11.42578125" style="1666"/>
    <col min="4629" max="4629" width="17.28515625" style="1666" customWidth="1"/>
    <col min="4630" max="4632" width="11.42578125" style="1666"/>
    <col min="4633" max="4633" width="12.42578125" style="1666" customWidth="1"/>
    <col min="4634" max="4634" width="30.85546875" style="1666" customWidth="1"/>
    <col min="4635" max="4637" width="11.42578125" style="1666"/>
    <col min="4638" max="4638" width="12.85546875" style="1666" customWidth="1"/>
    <col min="4639" max="4640" width="11.42578125" style="1666"/>
    <col min="4641" max="4641" width="19.85546875" style="1666" customWidth="1"/>
    <col min="4642" max="4864" width="11.42578125" style="1666"/>
    <col min="4865" max="4865" width="49.7109375" style="1666" customWidth="1"/>
    <col min="4866" max="4866" width="16.85546875" style="1666" customWidth="1"/>
    <col min="4867" max="4867" width="15" style="1666" customWidth="1"/>
    <col min="4868" max="4868" width="12.28515625" style="1666" customWidth="1"/>
    <col min="4869" max="4869" width="8.42578125" style="1666" customWidth="1"/>
    <col min="4870" max="4870" width="14.42578125" style="1666" customWidth="1"/>
    <col min="4871" max="4871" width="17.42578125" style="1666" customWidth="1"/>
    <col min="4872" max="4872" width="9" style="1666" customWidth="1"/>
    <col min="4873" max="4873" width="12.140625" style="1666" customWidth="1"/>
    <col min="4874" max="4874" width="8.42578125" style="1666" customWidth="1"/>
    <col min="4875" max="4875" width="12" style="1666" customWidth="1"/>
    <col min="4876" max="4876" width="11.42578125" style="1666"/>
    <col min="4877" max="4877" width="11.28515625" style="1666" customWidth="1"/>
    <col min="4878" max="4878" width="13.7109375" style="1666" customWidth="1"/>
    <col min="4879" max="4879" width="16.7109375" style="1666" customWidth="1"/>
    <col min="4880" max="4880" width="13.42578125" style="1666" customWidth="1"/>
    <col min="4881" max="4881" width="11.42578125" style="1666"/>
    <col min="4882" max="4882" width="13.7109375" style="1666" customWidth="1"/>
    <col min="4883" max="4884" width="11.42578125" style="1666"/>
    <col min="4885" max="4885" width="17.28515625" style="1666" customWidth="1"/>
    <col min="4886" max="4888" width="11.42578125" style="1666"/>
    <col min="4889" max="4889" width="12.42578125" style="1666" customWidth="1"/>
    <col min="4890" max="4890" width="30.85546875" style="1666" customWidth="1"/>
    <col min="4891" max="4893" width="11.42578125" style="1666"/>
    <col min="4894" max="4894" width="12.85546875" style="1666" customWidth="1"/>
    <col min="4895" max="4896" width="11.42578125" style="1666"/>
    <col min="4897" max="4897" width="19.85546875" style="1666" customWidth="1"/>
    <col min="4898" max="5120" width="11.42578125" style="1666"/>
    <col min="5121" max="5121" width="49.7109375" style="1666" customWidth="1"/>
    <col min="5122" max="5122" width="16.85546875" style="1666" customWidth="1"/>
    <col min="5123" max="5123" width="15" style="1666" customWidth="1"/>
    <col min="5124" max="5124" width="12.28515625" style="1666" customWidth="1"/>
    <col min="5125" max="5125" width="8.42578125" style="1666" customWidth="1"/>
    <col min="5126" max="5126" width="14.42578125" style="1666" customWidth="1"/>
    <col min="5127" max="5127" width="17.42578125" style="1666" customWidth="1"/>
    <col min="5128" max="5128" width="9" style="1666" customWidth="1"/>
    <col min="5129" max="5129" width="12.140625" style="1666" customWidth="1"/>
    <col min="5130" max="5130" width="8.42578125" style="1666" customWidth="1"/>
    <col min="5131" max="5131" width="12" style="1666" customWidth="1"/>
    <col min="5132" max="5132" width="11.42578125" style="1666"/>
    <col min="5133" max="5133" width="11.28515625" style="1666" customWidth="1"/>
    <col min="5134" max="5134" width="13.7109375" style="1666" customWidth="1"/>
    <col min="5135" max="5135" width="16.7109375" style="1666" customWidth="1"/>
    <col min="5136" max="5136" width="13.42578125" style="1666" customWidth="1"/>
    <col min="5137" max="5137" width="11.42578125" style="1666"/>
    <col min="5138" max="5138" width="13.7109375" style="1666" customWidth="1"/>
    <col min="5139" max="5140" width="11.42578125" style="1666"/>
    <col min="5141" max="5141" width="17.28515625" style="1666" customWidth="1"/>
    <col min="5142" max="5144" width="11.42578125" style="1666"/>
    <col min="5145" max="5145" width="12.42578125" style="1666" customWidth="1"/>
    <col min="5146" max="5146" width="30.85546875" style="1666" customWidth="1"/>
    <col min="5147" max="5149" width="11.42578125" style="1666"/>
    <col min="5150" max="5150" width="12.85546875" style="1666" customWidth="1"/>
    <col min="5151" max="5152" width="11.42578125" style="1666"/>
    <col min="5153" max="5153" width="19.85546875" style="1666" customWidth="1"/>
    <col min="5154" max="5376" width="11.42578125" style="1666"/>
    <col min="5377" max="5377" width="49.7109375" style="1666" customWidth="1"/>
    <col min="5378" max="5378" width="16.85546875" style="1666" customWidth="1"/>
    <col min="5379" max="5379" width="15" style="1666" customWidth="1"/>
    <col min="5380" max="5380" width="12.28515625" style="1666" customWidth="1"/>
    <col min="5381" max="5381" width="8.42578125" style="1666" customWidth="1"/>
    <col min="5382" max="5382" width="14.42578125" style="1666" customWidth="1"/>
    <col min="5383" max="5383" width="17.42578125" style="1666" customWidth="1"/>
    <col min="5384" max="5384" width="9" style="1666" customWidth="1"/>
    <col min="5385" max="5385" width="12.140625" style="1666" customWidth="1"/>
    <col min="5386" max="5386" width="8.42578125" style="1666" customWidth="1"/>
    <col min="5387" max="5387" width="12" style="1666" customWidth="1"/>
    <col min="5388" max="5388" width="11.42578125" style="1666"/>
    <col min="5389" max="5389" width="11.28515625" style="1666" customWidth="1"/>
    <col min="5390" max="5390" width="13.7109375" style="1666" customWidth="1"/>
    <col min="5391" max="5391" width="16.7109375" style="1666" customWidth="1"/>
    <col min="5392" max="5392" width="13.42578125" style="1666" customWidth="1"/>
    <col min="5393" max="5393" width="11.42578125" style="1666"/>
    <col min="5394" max="5394" width="13.7109375" style="1666" customWidth="1"/>
    <col min="5395" max="5396" width="11.42578125" style="1666"/>
    <col min="5397" max="5397" width="17.28515625" style="1666" customWidth="1"/>
    <col min="5398" max="5400" width="11.42578125" style="1666"/>
    <col min="5401" max="5401" width="12.42578125" style="1666" customWidth="1"/>
    <col min="5402" max="5402" width="30.85546875" style="1666" customWidth="1"/>
    <col min="5403" max="5405" width="11.42578125" style="1666"/>
    <col min="5406" max="5406" width="12.85546875" style="1666" customWidth="1"/>
    <col min="5407" max="5408" width="11.42578125" style="1666"/>
    <col min="5409" max="5409" width="19.85546875" style="1666" customWidth="1"/>
    <col min="5410" max="5632" width="11.42578125" style="1666"/>
    <col min="5633" max="5633" width="49.7109375" style="1666" customWidth="1"/>
    <col min="5634" max="5634" width="16.85546875" style="1666" customWidth="1"/>
    <col min="5635" max="5635" width="15" style="1666" customWidth="1"/>
    <col min="5636" max="5636" width="12.28515625" style="1666" customWidth="1"/>
    <col min="5637" max="5637" width="8.42578125" style="1666" customWidth="1"/>
    <col min="5638" max="5638" width="14.42578125" style="1666" customWidth="1"/>
    <col min="5639" max="5639" width="17.42578125" style="1666" customWidth="1"/>
    <col min="5640" max="5640" width="9" style="1666" customWidth="1"/>
    <col min="5641" max="5641" width="12.140625" style="1666" customWidth="1"/>
    <col min="5642" max="5642" width="8.42578125" style="1666" customWidth="1"/>
    <col min="5643" max="5643" width="12" style="1666" customWidth="1"/>
    <col min="5644" max="5644" width="11.42578125" style="1666"/>
    <col min="5645" max="5645" width="11.28515625" style="1666" customWidth="1"/>
    <col min="5646" max="5646" width="13.7109375" style="1666" customWidth="1"/>
    <col min="5647" max="5647" width="16.7109375" style="1666" customWidth="1"/>
    <col min="5648" max="5648" width="13.42578125" style="1666" customWidth="1"/>
    <col min="5649" max="5649" width="11.42578125" style="1666"/>
    <col min="5650" max="5650" width="13.7109375" style="1666" customWidth="1"/>
    <col min="5651" max="5652" width="11.42578125" style="1666"/>
    <col min="5653" max="5653" width="17.28515625" style="1666" customWidth="1"/>
    <col min="5654" max="5656" width="11.42578125" style="1666"/>
    <col min="5657" max="5657" width="12.42578125" style="1666" customWidth="1"/>
    <col min="5658" max="5658" width="30.85546875" style="1666" customWidth="1"/>
    <col min="5659" max="5661" width="11.42578125" style="1666"/>
    <col min="5662" max="5662" width="12.85546875" style="1666" customWidth="1"/>
    <col min="5663" max="5664" width="11.42578125" style="1666"/>
    <col min="5665" max="5665" width="19.85546875" style="1666" customWidth="1"/>
    <col min="5666" max="5888" width="11.42578125" style="1666"/>
    <col min="5889" max="5889" width="49.7109375" style="1666" customWidth="1"/>
    <col min="5890" max="5890" width="16.85546875" style="1666" customWidth="1"/>
    <col min="5891" max="5891" width="15" style="1666" customWidth="1"/>
    <col min="5892" max="5892" width="12.28515625" style="1666" customWidth="1"/>
    <col min="5893" max="5893" width="8.42578125" style="1666" customWidth="1"/>
    <col min="5894" max="5894" width="14.42578125" style="1666" customWidth="1"/>
    <col min="5895" max="5895" width="17.42578125" style="1666" customWidth="1"/>
    <col min="5896" max="5896" width="9" style="1666" customWidth="1"/>
    <col min="5897" max="5897" width="12.140625" style="1666" customWidth="1"/>
    <col min="5898" max="5898" width="8.42578125" style="1666" customWidth="1"/>
    <col min="5899" max="5899" width="12" style="1666" customWidth="1"/>
    <col min="5900" max="5900" width="11.42578125" style="1666"/>
    <col min="5901" max="5901" width="11.28515625" style="1666" customWidth="1"/>
    <col min="5902" max="5902" width="13.7109375" style="1666" customWidth="1"/>
    <col min="5903" max="5903" width="16.7109375" style="1666" customWidth="1"/>
    <col min="5904" max="5904" width="13.42578125" style="1666" customWidth="1"/>
    <col min="5905" max="5905" width="11.42578125" style="1666"/>
    <col min="5906" max="5906" width="13.7109375" style="1666" customWidth="1"/>
    <col min="5907" max="5908" width="11.42578125" style="1666"/>
    <col min="5909" max="5909" width="17.28515625" style="1666" customWidth="1"/>
    <col min="5910" max="5912" width="11.42578125" style="1666"/>
    <col min="5913" max="5913" width="12.42578125" style="1666" customWidth="1"/>
    <col min="5914" max="5914" width="30.85546875" style="1666" customWidth="1"/>
    <col min="5915" max="5917" width="11.42578125" style="1666"/>
    <col min="5918" max="5918" width="12.85546875" style="1666" customWidth="1"/>
    <col min="5919" max="5920" width="11.42578125" style="1666"/>
    <col min="5921" max="5921" width="19.85546875" style="1666" customWidth="1"/>
    <col min="5922" max="6144" width="11.42578125" style="1666"/>
    <col min="6145" max="6145" width="49.7109375" style="1666" customWidth="1"/>
    <col min="6146" max="6146" width="16.85546875" style="1666" customWidth="1"/>
    <col min="6147" max="6147" width="15" style="1666" customWidth="1"/>
    <col min="6148" max="6148" width="12.28515625" style="1666" customWidth="1"/>
    <col min="6149" max="6149" width="8.42578125" style="1666" customWidth="1"/>
    <col min="6150" max="6150" width="14.42578125" style="1666" customWidth="1"/>
    <col min="6151" max="6151" width="17.42578125" style="1666" customWidth="1"/>
    <col min="6152" max="6152" width="9" style="1666" customWidth="1"/>
    <col min="6153" max="6153" width="12.140625" style="1666" customWidth="1"/>
    <col min="6154" max="6154" width="8.42578125" style="1666" customWidth="1"/>
    <col min="6155" max="6155" width="12" style="1666" customWidth="1"/>
    <col min="6156" max="6156" width="11.42578125" style="1666"/>
    <col min="6157" max="6157" width="11.28515625" style="1666" customWidth="1"/>
    <col min="6158" max="6158" width="13.7109375" style="1666" customWidth="1"/>
    <col min="6159" max="6159" width="16.7109375" style="1666" customWidth="1"/>
    <col min="6160" max="6160" width="13.42578125" style="1666" customWidth="1"/>
    <col min="6161" max="6161" width="11.42578125" style="1666"/>
    <col min="6162" max="6162" width="13.7109375" style="1666" customWidth="1"/>
    <col min="6163" max="6164" width="11.42578125" style="1666"/>
    <col min="6165" max="6165" width="17.28515625" style="1666" customWidth="1"/>
    <col min="6166" max="6168" width="11.42578125" style="1666"/>
    <col min="6169" max="6169" width="12.42578125" style="1666" customWidth="1"/>
    <col min="6170" max="6170" width="30.85546875" style="1666" customWidth="1"/>
    <col min="6171" max="6173" width="11.42578125" style="1666"/>
    <col min="6174" max="6174" width="12.85546875" style="1666" customWidth="1"/>
    <col min="6175" max="6176" width="11.42578125" style="1666"/>
    <col min="6177" max="6177" width="19.85546875" style="1666" customWidth="1"/>
    <col min="6178" max="6400" width="11.42578125" style="1666"/>
    <col min="6401" max="6401" width="49.7109375" style="1666" customWidth="1"/>
    <col min="6402" max="6402" width="16.85546875" style="1666" customWidth="1"/>
    <col min="6403" max="6403" width="15" style="1666" customWidth="1"/>
    <col min="6404" max="6404" width="12.28515625" style="1666" customWidth="1"/>
    <col min="6405" max="6405" width="8.42578125" style="1666" customWidth="1"/>
    <col min="6406" max="6406" width="14.42578125" style="1666" customWidth="1"/>
    <col min="6407" max="6407" width="17.42578125" style="1666" customWidth="1"/>
    <col min="6408" max="6408" width="9" style="1666" customWidth="1"/>
    <col min="6409" max="6409" width="12.140625" style="1666" customWidth="1"/>
    <col min="6410" max="6410" width="8.42578125" style="1666" customWidth="1"/>
    <col min="6411" max="6411" width="12" style="1666" customWidth="1"/>
    <col min="6412" max="6412" width="11.42578125" style="1666"/>
    <col min="6413" max="6413" width="11.28515625" style="1666" customWidth="1"/>
    <col min="6414" max="6414" width="13.7109375" style="1666" customWidth="1"/>
    <col min="6415" max="6415" width="16.7109375" style="1666" customWidth="1"/>
    <col min="6416" max="6416" width="13.42578125" style="1666" customWidth="1"/>
    <col min="6417" max="6417" width="11.42578125" style="1666"/>
    <col min="6418" max="6418" width="13.7109375" style="1666" customWidth="1"/>
    <col min="6419" max="6420" width="11.42578125" style="1666"/>
    <col min="6421" max="6421" width="17.28515625" style="1666" customWidth="1"/>
    <col min="6422" max="6424" width="11.42578125" style="1666"/>
    <col min="6425" max="6425" width="12.42578125" style="1666" customWidth="1"/>
    <col min="6426" max="6426" width="30.85546875" style="1666" customWidth="1"/>
    <col min="6427" max="6429" width="11.42578125" style="1666"/>
    <col min="6430" max="6430" width="12.85546875" style="1666" customWidth="1"/>
    <col min="6431" max="6432" width="11.42578125" style="1666"/>
    <col min="6433" max="6433" width="19.85546875" style="1666" customWidth="1"/>
    <col min="6434" max="6656" width="11.42578125" style="1666"/>
    <col min="6657" max="6657" width="49.7109375" style="1666" customWidth="1"/>
    <col min="6658" max="6658" width="16.85546875" style="1666" customWidth="1"/>
    <col min="6659" max="6659" width="15" style="1666" customWidth="1"/>
    <col min="6660" max="6660" width="12.28515625" style="1666" customWidth="1"/>
    <col min="6661" max="6661" width="8.42578125" style="1666" customWidth="1"/>
    <col min="6662" max="6662" width="14.42578125" style="1666" customWidth="1"/>
    <col min="6663" max="6663" width="17.42578125" style="1666" customWidth="1"/>
    <col min="6664" max="6664" width="9" style="1666" customWidth="1"/>
    <col min="6665" max="6665" width="12.140625" style="1666" customWidth="1"/>
    <col min="6666" max="6666" width="8.42578125" style="1666" customWidth="1"/>
    <col min="6667" max="6667" width="12" style="1666" customWidth="1"/>
    <col min="6668" max="6668" width="11.42578125" style="1666"/>
    <col min="6669" max="6669" width="11.28515625" style="1666" customWidth="1"/>
    <col min="6670" max="6670" width="13.7109375" style="1666" customWidth="1"/>
    <col min="6671" max="6671" width="16.7109375" style="1666" customWidth="1"/>
    <col min="6672" max="6672" width="13.42578125" style="1666" customWidth="1"/>
    <col min="6673" max="6673" width="11.42578125" style="1666"/>
    <col min="6674" max="6674" width="13.7109375" style="1666" customWidth="1"/>
    <col min="6675" max="6676" width="11.42578125" style="1666"/>
    <col min="6677" max="6677" width="17.28515625" style="1666" customWidth="1"/>
    <col min="6678" max="6680" width="11.42578125" style="1666"/>
    <col min="6681" max="6681" width="12.42578125" style="1666" customWidth="1"/>
    <col min="6682" max="6682" width="30.85546875" style="1666" customWidth="1"/>
    <col min="6683" max="6685" width="11.42578125" style="1666"/>
    <col min="6686" max="6686" width="12.85546875" style="1666" customWidth="1"/>
    <col min="6687" max="6688" width="11.42578125" style="1666"/>
    <col min="6689" max="6689" width="19.85546875" style="1666" customWidth="1"/>
    <col min="6690" max="6912" width="11.42578125" style="1666"/>
    <col min="6913" max="6913" width="49.7109375" style="1666" customWidth="1"/>
    <col min="6914" max="6914" width="16.85546875" style="1666" customWidth="1"/>
    <col min="6915" max="6915" width="15" style="1666" customWidth="1"/>
    <col min="6916" max="6916" width="12.28515625" style="1666" customWidth="1"/>
    <col min="6917" max="6917" width="8.42578125" style="1666" customWidth="1"/>
    <col min="6918" max="6918" width="14.42578125" style="1666" customWidth="1"/>
    <col min="6919" max="6919" width="17.42578125" style="1666" customWidth="1"/>
    <col min="6920" max="6920" width="9" style="1666" customWidth="1"/>
    <col min="6921" max="6921" width="12.140625" style="1666" customWidth="1"/>
    <col min="6922" max="6922" width="8.42578125" style="1666" customWidth="1"/>
    <col min="6923" max="6923" width="12" style="1666" customWidth="1"/>
    <col min="6924" max="6924" width="11.42578125" style="1666"/>
    <col min="6925" max="6925" width="11.28515625" style="1666" customWidth="1"/>
    <col min="6926" max="6926" width="13.7109375" style="1666" customWidth="1"/>
    <col min="6927" max="6927" width="16.7109375" style="1666" customWidth="1"/>
    <col min="6928" max="6928" width="13.42578125" style="1666" customWidth="1"/>
    <col min="6929" max="6929" width="11.42578125" style="1666"/>
    <col min="6930" max="6930" width="13.7109375" style="1666" customWidth="1"/>
    <col min="6931" max="6932" width="11.42578125" style="1666"/>
    <col min="6933" max="6933" width="17.28515625" style="1666" customWidth="1"/>
    <col min="6934" max="6936" width="11.42578125" style="1666"/>
    <col min="6937" max="6937" width="12.42578125" style="1666" customWidth="1"/>
    <col min="6938" max="6938" width="30.85546875" style="1666" customWidth="1"/>
    <col min="6939" max="6941" width="11.42578125" style="1666"/>
    <col min="6942" max="6942" width="12.85546875" style="1666" customWidth="1"/>
    <col min="6943" max="6944" width="11.42578125" style="1666"/>
    <col min="6945" max="6945" width="19.85546875" style="1666" customWidth="1"/>
    <col min="6946" max="7168" width="11.42578125" style="1666"/>
    <col min="7169" max="7169" width="49.7109375" style="1666" customWidth="1"/>
    <col min="7170" max="7170" width="16.85546875" style="1666" customWidth="1"/>
    <col min="7171" max="7171" width="15" style="1666" customWidth="1"/>
    <col min="7172" max="7172" width="12.28515625" style="1666" customWidth="1"/>
    <col min="7173" max="7173" width="8.42578125" style="1666" customWidth="1"/>
    <col min="7174" max="7174" width="14.42578125" style="1666" customWidth="1"/>
    <col min="7175" max="7175" width="17.42578125" style="1666" customWidth="1"/>
    <col min="7176" max="7176" width="9" style="1666" customWidth="1"/>
    <col min="7177" max="7177" width="12.140625" style="1666" customWidth="1"/>
    <col min="7178" max="7178" width="8.42578125" style="1666" customWidth="1"/>
    <col min="7179" max="7179" width="12" style="1666" customWidth="1"/>
    <col min="7180" max="7180" width="11.42578125" style="1666"/>
    <col min="7181" max="7181" width="11.28515625" style="1666" customWidth="1"/>
    <col min="7182" max="7182" width="13.7109375" style="1666" customWidth="1"/>
    <col min="7183" max="7183" width="16.7109375" style="1666" customWidth="1"/>
    <col min="7184" max="7184" width="13.42578125" style="1666" customWidth="1"/>
    <col min="7185" max="7185" width="11.42578125" style="1666"/>
    <col min="7186" max="7186" width="13.7109375" style="1666" customWidth="1"/>
    <col min="7187" max="7188" width="11.42578125" style="1666"/>
    <col min="7189" max="7189" width="17.28515625" style="1666" customWidth="1"/>
    <col min="7190" max="7192" width="11.42578125" style="1666"/>
    <col min="7193" max="7193" width="12.42578125" style="1666" customWidth="1"/>
    <col min="7194" max="7194" width="30.85546875" style="1666" customWidth="1"/>
    <col min="7195" max="7197" width="11.42578125" style="1666"/>
    <col min="7198" max="7198" width="12.85546875" style="1666" customWidth="1"/>
    <col min="7199" max="7200" width="11.42578125" style="1666"/>
    <col min="7201" max="7201" width="19.85546875" style="1666" customWidth="1"/>
    <col min="7202" max="7424" width="11.42578125" style="1666"/>
    <col min="7425" max="7425" width="49.7109375" style="1666" customWidth="1"/>
    <col min="7426" max="7426" width="16.85546875" style="1666" customWidth="1"/>
    <col min="7427" max="7427" width="15" style="1666" customWidth="1"/>
    <col min="7428" max="7428" width="12.28515625" style="1666" customWidth="1"/>
    <col min="7429" max="7429" width="8.42578125" style="1666" customWidth="1"/>
    <col min="7430" max="7430" width="14.42578125" style="1666" customWidth="1"/>
    <col min="7431" max="7431" width="17.42578125" style="1666" customWidth="1"/>
    <col min="7432" max="7432" width="9" style="1666" customWidth="1"/>
    <col min="7433" max="7433" width="12.140625" style="1666" customWidth="1"/>
    <col min="7434" max="7434" width="8.42578125" style="1666" customWidth="1"/>
    <col min="7435" max="7435" width="12" style="1666" customWidth="1"/>
    <col min="7436" max="7436" width="11.42578125" style="1666"/>
    <col min="7437" max="7437" width="11.28515625" style="1666" customWidth="1"/>
    <col min="7438" max="7438" width="13.7109375" style="1666" customWidth="1"/>
    <col min="7439" max="7439" width="16.7109375" style="1666" customWidth="1"/>
    <col min="7440" max="7440" width="13.42578125" style="1666" customWidth="1"/>
    <col min="7441" max="7441" width="11.42578125" style="1666"/>
    <col min="7442" max="7442" width="13.7109375" style="1666" customWidth="1"/>
    <col min="7443" max="7444" width="11.42578125" style="1666"/>
    <col min="7445" max="7445" width="17.28515625" style="1666" customWidth="1"/>
    <col min="7446" max="7448" width="11.42578125" style="1666"/>
    <col min="7449" max="7449" width="12.42578125" style="1666" customWidth="1"/>
    <col min="7450" max="7450" width="30.85546875" style="1666" customWidth="1"/>
    <col min="7451" max="7453" width="11.42578125" style="1666"/>
    <col min="7454" max="7454" width="12.85546875" style="1666" customWidth="1"/>
    <col min="7455" max="7456" width="11.42578125" style="1666"/>
    <col min="7457" max="7457" width="19.85546875" style="1666" customWidth="1"/>
    <col min="7458" max="7680" width="11.42578125" style="1666"/>
    <col min="7681" max="7681" width="49.7109375" style="1666" customWidth="1"/>
    <col min="7682" max="7682" width="16.85546875" style="1666" customWidth="1"/>
    <col min="7683" max="7683" width="15" style="1666" customWidth="1"/>
    <col min="7684" max="7684" width="12.28515625" style="1666" customWidth="1"/>
    <col min="7685" max="7685" width="8.42578125" style="1666" customWidth="1"/>
    <col min="7686" max="7686" width="14.42578125" style="1666" customWidth="1"/>
    <col min="7687" max="7687" width="17.42578125" style="1666" customWidth="1"/>
    <col min="7688" max="7688" width="9" style="1666" customWidth="1"/>
    <col min="7689" max="7689" width="12.140625" style="1666" customWidth="1"/>
    <col min="7690" max="7690" width="8.42578125" style="1666" customWidth="1"/>
    <col min="7691" max="7691" width="12" style="1666" customWidth="1"/>
    <col min="7692" max="7692" width="11.42578125" style="1666"/>
    <col min="7693" max="7693" width="11.28515625" style="1666" customWidth="1"/>
    <col min="7694" max="7694" width="13.7109375" style="1666" customWidth="1"/>
    <col min="7695" max="7695" width="16.7109375" style="1666" customWidth="1"/>
    <col min="7696" max="7696" width="13.42578125" style="1666" customWidth="1"/>
    <col min="7697" max="7697" width="11.42578125" style="1666"/>
    <col min="7698" max="7698" width="13.7109375" style="1666" customWidth="1"/>
    <col min="7699" max="7700" width="11.42578125" style="1666"/>
    <col min="7701" max="7701" width="17.28515625" style="1666" customWidth="1"/>
    <col min="7702" max="7704" width="11.42578125" style="1666"/>
    <col min="7705" max="7705" width="12.42578125" style="1666" customWidth="1"/>
    <col min="7706" max="7706" width="30.85546875" style="1666" customWidth="1"/>
    <col min="7707" max="7709" width="11.42578125" style="1666"/>
    <col min="7710" max="7710" width="12.85546875" style="1666" customWidth="1"/>
    <col min="7711" max="7712" width="11.42578125" style="1666"/>
    <col min="7713" max="7713" width="19.85546875" style="1666" customWidth="1"/>
    <col min="7714" max="7936" width="11.42578125" style="1666"/>
    <col min="7937" max="7937" width="49.7109375" style="1666" customWidth="1"/>
    <col min="7938" max="7938" width="16.85546875" style="1666" customWidth="1"/>
    <col min="7939" max="7939" width="15" style="1666" customWidth="1"/>
    <col min="7940" max="7940" width="12.28515625" style="1666" customWidth="1"/>
    <col min="7941" max="7941" width="8.42578125" style="1666" customWidth="1"/>
    <col min="7942" max="7942" width="14.42578125" style="1666" customWidth="1"/>
    <col min="7943" max="7943" width="17.42578125" style="1666" customWidth="1"/>
    <col min="7944" max="7944" width="9" style="1666" customWidth="1"/>
    <col min="7945" max="7945" width="12.140625" style="1666" customWidth="1"/>
    <col min="7946" max="7946" width="8.42578125" style="1666" customWidth="1"/>
    <col min="7947" max="7947" width="12" style="1666" customWidth="1"/>
    <col min="7948" max="7948" width="11.42578125" style="1666"/>
    <col min="7949" max="7949" width="11.28515625" style="1666" customWidth="1"/>
    <col min="7950" max="7950" width="13.7109375" style="1666" customWidth="1"/>
    <col min="7951" max="7951" width="16.7109375" style="1666" customWidth="1"/>
    <col min="7952" max="7952" width="13.42578125" style="1666" customWidth="1"/>
    <col min="7953" max="7953" width="11.42578125" style="1666"/>
    <col min="7954" max="7954" width="13.7109375" style="1666" customWidth="1"/>
    <col min="7955" max="7956" width="11.42578125" style="1666"/>
    <col min="7957" max="7957" width="17.28515625" style="1666" customWidth="1"/>
    <col min="7958" max="7960" width="11.42578125" style="1666"/>
    <col min="7961" max="7961" width="12.42578125" style="1666" customWidth="1"/>
    <col min="7962" max="7962" width="30.85546875" style="1666" customWidth="1"/>
    <col min="7963" max="7965" width="11.42578125" style="1666"/>
    <col min="7966" max="7966" width="12.85546875" style="1666" customWidth="1"/>
    <col min="7967" max="7968" width="11.42578125" style="1666"/>
    <col min="7969" max="7969" width="19.85546875" style="1666" customWidth="1"/>
    <col min="7970" max="8192" width="11.42578125" style="1666"/>
    <col min="8193" max="8193" width="49.7109375" style="1666" customWidth="1"/>
    <col min="8194" max="8194" width="16.85546875" style="1666" customWidth="1"/>
    <col min="8195" max="8195" width="15" style="1666" customWidth="1"/>
    <col min="8196" max="8196" width="12.28515625" style="1666" customWidth="1"/>
    <col min="8197" max="8197" width="8.42578125" style="1666" customWidth="1"/>
    <col min="8198" max="8198" width="14.42578125" style="1666" customWidth="1"/>
    <col min="8199" max="8199" width="17.42578125" style="1666" customWidth="1"/>
    <col min="8200" max="8200" width="9" style="1666" customWidth="1"/>
    <col min="8201" max="8201" width="12.140625" style="1666" customWidth="1"/>
    <col min="8202" max="8202" width="8.42578125" style="1666" customWidth="1"/>
    <col min="8203" max="8203" width="12" style="1666" customWidth="1"/>
    <col min="8204" max="8204" width="11.42578125" style="1666"/>
    <col min="8205" max="8205" width="11.28515625" style="1666" customWidth="1"/>
    <col min="8206" max="8206" width="13.7109375" style="1666" customWidth="1"/>
    <col min="8207" max="8207" width="16.7109375" style="1666" customWidth="1"/>
    <col min="8208" max="8208" width="13.42578125" style="1666" customWidth="1"/>
    <col min="8209" max="8209" width="11.42578125" style="1666"/>
    <col min="8210" max="8210" width="13.7109375" style="1666" customWidth="1"/>
    <col min="8211" max="8212" width="11.42578125" style="1666"/>
    <col min="8213" max="8213" width="17.28515625" style="1666" customWidth="1"/>
    <col min="8214" max="8216" width="11.42578125" style="1666"/>
    <col min="8217" max="8217" width="12.42578125" style="1666" customWidth="1"/>
    <col min="8218" max="8218" width="30.85546875" style="1666" customWidth="1"/>
    <col min="8219" max="8221" width="11.42578125" style="1666"/>
    <col min="8222" max="8222" width="12.85546875" style="1666" customWidth="1"/>
    <col min="8223" max="8224" width="11.42578125" style="1666"/>
    <col min="8225" max="8225" width="19.85546875" style="1666" customWidth="1"/>
    <col min="8226" max="8448" width="11.42578125" style="1666"/>
    <col min="8449" max="8449" width="49.7109375" style="1666" customWidth="1"/>
    <col min="8450" max="8450" width="16.85546875" style="1666" customWidth="1"/>
    <col min="8451" max="8451" width="15" style="1666" customWidth="1"/>
    <col min="8452" max="8452" width="12.28515625" style="1666" customWidth="1"/>
    <col min="8453" max="8453" width="8.42578125" style="1666" customWidth="1"/>
    <col min="8454" max="8454" width="14.42578125" style="1666" customWidth="1"/>
    <col min="8455" max="8455" width="17.42578125" style="1666" customWidth="1"/>
    <col min="8456" max="8456" width="9" style="1666" customWidth="1"/>
    <col min="8457" max="8457" width="12.140625" style="1666" customWidth="1"/>
    <col min="8458" max="8458" width="8.42578125" style="1666" customWidth="1"/>
    <col min="8459" max="8459" width="12" style="1666" customWidth="1"/>
    <col min="8460" max="8460" width="11.42578125" style="1666"/>
    <col min="8461" max="8461" width="11.28515625" style="1666" customWidth="1"/>
    <col min="8462" max="8462" width="13.7109375" style="1666" customWidth="1"/>
    <col min="8463" max="8463" width="16.7109375" style="1666" customWidth="1"/>
    <col min="8464" max="8464" width="13.42578125" style="1666" customWidth="1"/>
    <col min="8465" max="8465" width="11.42578125" style="1666"/>
    <col min="8466" max="8466" width="13.7109375" style="1666" customWidth="1"/>
    <col min="8467" max="8468" width="11.42578125" style="1666"/>
    <col min="8469" max="8469" width="17.28515625" style="1666" customWidth="1"/>
    <col min="8470" max="8472" width="11.42578125" style="1666"/>
    <col min="8473" max="8473" width="12.42578125" style="1666" customWidth="1"/>
    <col min="8474" max="8474" width="30.85546875" style="1666" customWidth="1"/>
    <col min="8475" max="8477" width="11.42578125" style="1666"/>
    <col min="8478" max="8478" width="12.85546875" style="1666" customWidth="1"/>
    <col min="8479" max="8480" width="11.42578125" style="1666"/>
    <col min="8481" max="8481" width="19.85546875" style="1666" customWidth="1"/>
    <col min="8482" max="8704" width="11.42578125" style="1666"/>
    <col min="8705" max="8705" width="49.7109375" style="1666" customWidth="1"/>
    <col min="8706" max="8706" width="16.85546875" style="1666" customWidth="1"/>
    <col min="8707" max="8707" width="15" style="1666" customWidth="1"/>
    <col min="8708" max="8708" width="12.28515625" style="1666" customWidth="1"/>
    <col min="8709" max="8709" width="8.42578125" style="1666" customWidth="1"/>
    <col min="8710" max="8710" width="14.42578125" style="1666" customWidth="1"/>
    <col min="8711" max="8711" width="17.42578125" style="1666" customWidth="1"/>
    <col min="8712" max="8712" width="9" style="1666" customWidth="1"/>
    <col min="8713" max="8713" width="12.140625" style="1666" customWidth="1"/>
    <col min="8714" max="8714" width="8.42578125" style="1666" customWidth="1"/>
    <col min="8715" max="8715" width="12" style="1666" customWidth="1"/>
    <col min="8716" max="8716" width="11.42578125" style="1666"/>
    <col min="8717" max="8717" width="11.28515625" style="1666" customWidth="1"/>
    <col min="8718" max="8718" width="13.7109375" style="1666" customWidth="1"/>
    <col min="8719" max="8719" width="16.7109375" style="1666" customWidth="1"/>
    <col min="8720" max="8720" width="13.42578125" style="1666" customWidth="1"/>
    <col min="8721" max="8721" width="11.42578125" style="1666"/>
    <col min="8722" max="8722" width="13.7109375" style="1666" customWidth="1"/>
    <col min="8723" max="8724" width="11.42578125" style="1666"/>
    <col min="8725" max="8725" width="17.28515625" style="1666" customWidth="1"/>
    <col min="8726" max="8728" width="11.42578125" style="1666"/>
    <col min="8729" max="8729" width="12.42578125" style="1666" customWidth="1"/>
    <col min="8730" max="8730" width="30.85546875" style="1666" customWidth="1"/>
    <col min="8731" max="8733" width="11.42578125" style="1666"/>
    <col min="8734" max="8734" width="12.85546875" style="1666" customWidth="1"/>
    <col min="8735" max="8736" width="11.42578125" style="1666"/>
    <col min="8737" max="8737" width="19.85546875" style="1666" customWidth="1"/>
    <col min="8738" max="8960" width="11.42578125" style="1666"/>
    <col min="8961" max="8961" width="49.7109375" style="1666" customWidth="1"/>
    <col min="8962" max="8962" width="16.85546875" style="1666" customWidth="1"/>
    <col min="8963" max="8963" width="15" style="1666" customWidth="1"/>
    <col min="8964" max="8964" width="12.28515625" style="1666" customWidth="1"/>
    <col min="8965" max="8965" width="8.42578125" style="1666" customWidth="1"/>
    <col min="8966" max="8966" width="14.42578125" style="1666" customWidth="1"/>
    <col min="8967" max="8967" width="17.42578125" style="1666" customWidth="1"/>
    <col min="8968" max="8968" width="9" style="1666" customWidth="1"/>
    <col min="8969" max="8969" width="12.140625" style="1666" customWidth="1"/>
    <col min="8970" max="8970" width="8.42578125" style="1666" customWidth="1"/>
    <col min="8971" max="8971" width="12" style="1666" customWidth="1"/>
    <col min="8972" max="8972" width="11.42578125" style="1666"/>
    <col min="8973" max="8973" width="11.28515625" style="1666" customWidth="1"/>
    <col min="8974" max="8974" width="13.7109375" style="1666" customWidth="1"/>
    <col min="8975" max="8975" width="16.7109375" style="1666" customWidth="1"/>
    <col min="8976" max="8976" width="13.42578125" style="1666" customWidth="1"/>
    <col min="8977" max="8977" width="11.42578125" style="1666"/>
    <col min="8978" max="8978" width="13.7109375" style="1666" customWidth="1"/>
    <col min="8979" max="8980" width="11.42578125" style="1666"/>
    <col min="8981" max="8981" width="17.28515625" style="1666" customWidth="1"/>
    <col min="8982" max="8984" width="11.42578125" style="1666"/>
    <col min="8985" max="8985" width="12.42578125" style="1666" customWidth="1"/>
    <col min="8986" max="8986" width="30.85546875" style="1666" customWidth="1"/>
    <col min="8987" max="8989" width="11.42578125" style="1666"/>
    <col min="8990" max="8990" width="12.85546875" style="1666" customWidth="1"/>
    <col min="8991" max="8992" width="11.42578125" style="1666"/>
    <col min="8993" max="8993" width="19.85546875" style="1666" customWidth="1"/>
    <col min="8994" max="9216" width="11.42578125" style="1666"/>
    <col min="9217" max="9217" width="49.7109375" style="1666" customWidth="1"/>
    <col min="9218" max="9218" width="16.85546875" style="1666" customWidth="1"/>
    <col min="9219" max="9219" width="15" style="1666" customWidth="1"/>
    <col min="9220" max="9220" width="12.28515625" style="1666" customWidth="1"/>
    <col min="9221" max="9221" width="8.42578125" style="1666" customWidth="1"/>
    <col min="9222" max="9222" width="14.42578125" style="1666" customWidth="1"/>
    <col min="9223" max="9223" width="17.42578125" style="1666" customWidth="1"/>
    <col min="9224" max="9224" width="9" style="1666" customWidth="1"/>
    <col min="9225" max="9225" width="12.140625" style="1666" customWidth="1"/>
    <col min="9226" max="9226" width="8.42578125" style="1666" customWidth="1"/>
    <col min="9227" max="9227" width="12" style="1666" customWidth="1"/>
    <col min="9228" max="9228" width="11.42578125" style="1666"/>
    <col min="9229" max="9229" width="11.28515625" style="1666" customWidth="1"/>
    <col min="9230" max="9230" width="13.7109375" style="1666" customWidth="1"/>
    <col min="9231" max="9231" width="16.7109375" style="1666" customWidth="1"/>
    <col min="9232" max="9232" width="13.42578125" style="1666" customWidth="1"/>
    <col min="9233" max="9233" width="11.42578125" style="1666"/>
    <col min="9234" max="9234" width="13.7109375" style="1666" customWidth="1"/>
    <col min="9235" max="9236" width="11.42578125" style="1666"/>
    <col min="9237" max="9237" width="17.28515625" style="1666" customWidth="1"/>
    <col min="9238" max="9240" width="11.42578125" style="1666"/>
    <col min="9241" max="9241" width="12.42578125" style="1666" customWidth="1"/>
    <col min="9242" max="9242" width="30.85546875" style="1666" customWidth="1"/>
    <col min="9243" max="9245" width="11.42578125" style="1666"/>
    <col min="9246" max="9246" width="12.85546875" style="1666" customWidth="1"/>
    <col min="9247" max="9248" width="11.42578125" style="1666"/>
    <col min="9249" max="9249" width="19.85546875" style="1666" customWidth="1"/>
    <col min="9250" max="9472" width="11.42578125" style="1666"/>
    <col min="9473" max="9473" width="49.7109375" style="1666" customWidth="1"/>
    <col min="9474" max="9474" width="16.85546875" style="1666" customWidth="1"/>
    <col min="9475" max="9475" width="15" style="1666" customWidth="1"/>
    <col min="9476" max="9476" width="12.28515625" style="1666" customWidth="1"/>
    <col min="9477" max="9477" width="8.42578125" style="1666" customWidth="1"/>
    <col min="9478" max="9478" width="14.42578125" style="1666" customWidth="1"/>
    <col min="9479" max="9479" width="17.42578125" style="1666" customWidth="1"/>
    <col min="9480" max="9480" width="9" style="1666" customWidth="1"/>
    <col min="9481" max="9481" width="12.140625" style="1666" customWidth="1"/>
    <col min="9482" max="9482" width="8.42578125" style="1666" customWidth="1"/>
    <col min="9483" max="9483" width="12" style="1666" customWidth="1"/>
    <col min="9484" max="9484" width="11.42578125" style="1666"/>
    <col min="9485" max="9485" width="11.28515625" style="1666" customWidth="1"/>
    <col min="9486" max="9486" width="13.7109375" style="1666" customWidth="1"/>
    <col min="9487" max="9487" width="16.7109375" style="1666" customWidth="1"/>
    <col min="9488" max="9488" width="13.42578125" style="1666" customWidth="1"/>
    <col min="9489" max="9489" width="11.42578125" style="1666"/>
    <col min="9490" max="9490" width="13.7109375" style="1666" customWidth="1"/>
    <col min="9491" max="9492" width="11.42578125" style="1666"/>
    <col min="9493" max="9493" width="17.28515625" style="1666" customWidth="1"/>
    <col min="9494" max="9496" width="11.42578125" style="1666"/>
    <col min="9497" max="9497" width="12.42578125" style="1666" customWidth="1"/>
    <col min="9498" max="9498" width="30.85546875" style="1666" customWidth="1"/>
    <col min="9499" max="9501" width="11.42578125" style="1666"/>
    <col min="9502" max="9502" width="12.85546875" style="1666" customWidth="1"/>
    <col min="9503" max="9504" width="11.42578125" style="1666"/>
    <col min="9505" max="9505" width="19.85546875" style="1666" customWidth="1"/>
    <col min="9506" max="9728" width="11.42578125" style="1666"/>
    <col min="9729" max="9729" width="49.7109375" style="1666" customWidth="1"/>
    <col min="9730" max="9730" width="16.85546875" style="1666" customWidth="1"/>
    <col min="9731" max="9731" width="15" style="1666" customWidth="1"/>
    <col min="9732" max="9732" width="12.28515625" style="1666" customWidth="1"/>
    <col min="9733" max="9733" width="8.42578125" style="1666" customWidth="1"/>
    <col min="9734" max="9734" width="14.42578125" style="1666" customWidth="1"/>
    <col min="9735" max="9735" width="17.42578125" style="1666" customWidth="1"/>
    <col min="9736" max="9736" width="9" style="1666" customWidth="1"/>
    <col min="9737" max="9737" width="12.140625" style="1666" customWidth="1"/>
    <col min="9738" max="9738" width="8.42578125" style="1666" customWidth="1"/>
    <col min="9739" max="9739" width="12" style="1666" customWidth="1"/>
    <col min="9740" max="9740" width="11.42578125" style="1666"/>
    <col min="9741" max="9741" width="11.28515625" style="1666" customWidth="1"/>
    <col min="9742" max="9742" width="13.7109375" style="1666" customWidth="1"/>
    <col min="9743" max="9743" width="16.7109375" style="1666" customWidth="1"/>
    <col min="9744" max="9744" width="13.42578125" style="1666" customWidth="1"/>
    <col min="9745" max="9745" width="11.42578125" style="1666"/>
    <col min="9746" max="9746" width="13.7109375" style="1666" customWidth="1"/>
    <col min="9747" max="9748" width="11.42578125" style="1666"/>
    <col min="9749" max="9749" width="17.28515625" style="1666" customWidth="1"/>
    <col min="9750" max="9752" width="11.42578125" style="1666"/>
    <col min="9753" max="9753" width="12.42578125" style="1666" customWidth="1"/>
    <col min="9754" max="9754" width="30.85546875" style="1666" customWidth="1"/>
    <col min="9755" max="9757" width="11.42578125" style="1666"/>
    <col min="9758" max="9758" width="12.85546875" style="1666" customWidth="1"/>
    <col min="9759" max="9760" width="11.42578125" style="1666"/>
    <col min="9761" max="9761" width="19.85546875" style="1666" customWidth="1"/>
    <col min="9762" max="9984" width="11.42578125" style="1666"/>
    <col min="9985" max="9985" width="49.7109375" style="1666" customWidth="1"/>
    <col min="9986" max="9986" width="16.85546875" style="1666" customWidth="1"/>
    <col min="9987" max="9987" width="15" style="1666" customWidth="1"/>
    <col min="9988" max="9988" width="12.28515625" style="1666" customWidth="1"/>
    <col min="9989" max="9989" width="8.42578125" style="1666" customWidth="1"/>
    <col min="9990" max="9990" width="14.42578125" style="1666" customWidth="1"/>
    <col min="9991" max="9991" width="17.42578125" style="1666" customWidth="1"/>
    <col min="9992" max="9992" width="9" style="1666" customWidth="1"/>
    <col min="9993" max="9993" width="12.140625" style="1666" customWidth="1"/>
    <col min="9994" max="9994" width="8.42578125" style="1666" customWidth="1"/>
    <col min="9995" max="9995" width="12" style="1666" customWidth="1"/>
    <col min="9996" max="9996" width="11.42578125" style="1666"/>
    <col min="9997" max="9997" width="11.28515625" style="1666" customWidth="1"/>
    <col min="9998" max="9998" width="13.7109375" style="1666" customWidth="1"/>
    <col min="9999" max="9999" width="16.7109375" style="1666" customWidth="1"/>
    <col min="10000" max="10000" width="13.42578125" style="1666" customWidth="1"/>
    <col min="10001" max="10001" width="11.42578125" style="1666"/>
    <col min="10002" max="10002" width="13.7109375" style="1666" customWidth="1"/>
    <col min="10003" max="10004" width="11.42578125" style="1666"/>
    <col min="10005" max="10005" width="17.28515625" style="1666" customWidth="1"/>
    <col min="10006" max="10008" width="11.42578125" style="1666"/>
    <col min="10009" max="10009" width="12.42578125" style="1666" customWidth="1"/>
    <col min="10010" max="10010" width="30.85546875" style="1666" customWidth="1"/>
    <col min="10011" max="10013" width="11.42578125" style="1666"/>
    <col min="10014" max="10014" width="12.85546875" style="1666" customWidth="1"/>
    <col min="10015" max="10016" width="11.42578125" style="1666"/>
    <col min="10017" max="10017" width="19.85546875" style="1666" customWidth="1"/>
    <col min="10018" max="10240" width="11.42578125" style="1666"/>
    <col min="10241" max="10241" width="49.7109375" style="1666" customWidth="1"/>
    <col min="10242" max="10242" width="16.85546875" style="1666" customWidth="1"/>
    <col min="10243" max="10243" width="15" style="1666" customWidth="1"/>
    <col min="10244" max="10244" width="12.28515625" style="1666" customWidth="1"/>
    <col min="10245" max="10245" width="8.42578125" style="1666" customWidth="1"/>
    <col min="10246" max="10246" width="14.42578125" style="1666" customWidth="1"/>
    <col min="10247" max="10247" width="17.42578125" style="1666" customWidth="1"/>
    <col min="10248" max="10248" width="9" style="1666" customWidth="1"/>
    <col min="10249" max="10249" width="12.140625" style="1666" customWidth="1"/>
    <col min="10250" max="10250" width="8.42578125" style="1666" customWidth="1"/>
    <col min="10251" max="10251" width="12" style="1666" customWidth="1"/>
    <col min="10252" max="10252" width="11.42578125" style="1666"/>
    <col min="10253" max="10253" width="11.28515625" style="1666" customWidth="1"/>
    <col min="10254" max="10254" width="13.7109375" style="1666" customWidth="1"/>
    <col min="10255" max="10255" width="16.7109375" style="1666" customWidth="1"/>
    <col min="10256" max="10256" width="13.42578125" style="1666" customWidth="1"/>
    <col min="10257" max="10257" width="11.42578125" style="1666"/>
    <col min="10258" max="10258" width="13.7109375" style="1666" customWidth="1"/>
    <col min="10259" max="10260" width="11.42578125" style="1666"/>
    <col min="10261" max="10261" width="17.28515625" style="1666" customWidth="1"/>
    <col min="10262" max="10264" width="11.42578125" style="1666"/>
    <col min="10265" max="10265" width="12.42578125" style="1666" customWidth="1"/>
    <col min="10266" max="10266" width="30.85546875" style="1666" customWidth="1"/>
    <col min="10267" max="10269" width="11.42578125" style="1666"/>
    <col min="10270" max="10270" width="12.85546875" style="1666" customWidth="1"/>
    <col min="10271" max="10272" width="11.42578125" style="1666"/>
    <col min="10273" max="10273" width="19.85546875" style="1666" customWidth="1"/>
    <col min="10274" max="10496" width="11.42578125" style="1666"/>
    <col min="10497" max="10497" width="49.7109375" style="1666" customWidth="1"/>
    <col min="10498" max="10498" width="16.85546875" style="1666" customWidth="1"/>
    <col min="10499" max="10499" width="15" style="1666" customWidth="1"/>
    <col min="10500" max="10500" width="12.28515625" style="1666" customWidth="1"/>
    <col min="10501" max="10501" width="8.42578125" style="1666" customWidth="1"/>
    <col min="10502" max="10502" width="14.42578125" style="1666" customWidth="1"/>
    <col min="10503" max="10503" width="17.42578125" style="1666" customWidth="1"/>
    <col min="10504" max="10504" width="9" style="1666" customWidth="1"/>
    <col min="10505" max="10505" width="12.140625" style="1666" customWidth="1"/>
    <col min="10506" max="10506" width="8.42578125" style="1666" customWidth="1"/>
    <col min="10507" max="10507" width="12" style="1666" customWidth="1"/>
    <col min="10508" max="10508" width="11.42578125" style="1666"/>
    <col min="10509" max="10509" width="11.28515625" style="1666" customWidth="1"/>
    <col min="10510" max="10510" width="13.7109375" style="1666" customWidth="1"/>
    <col min="10511" max="10511" width="16.7109375" style="1666" customWidth="1"/>
    <col min="10512" max="10512" width="13.42578125" style="1666" customWidth="1"/>
    <col min="10513" max="10513" width="11.42578125" style="1666"/>
    <col min="10514" max="10514" width="13.7109375" style="1666" customWidth="1"/>
    <col min="10515" max="10516" width="11.42578125" style="1666"/>
    <col min="10517" max="10517" width="17.28515625" style="1666" customWidth="1"/>
    <col min="10518" max="10520" width="11.42578125" style="1666"/>
    <col min="10521" max="10521" width="12.42578125" style="1666" customWidth="1"/>
    <col min="10522" max="10522" width="30.85546875" style="1666" customWidth="1"/>
    <col min="10523" max="10525" width="11.42578125" style="1666"/>
    <col min="10526" max="10526" width="12.85546875" style="1666" customWidth="1"/>
    <col min="10527" max="10528" width="11.42578125" style="1666"/>
    <col min="10529" max="10529" width="19.85546875" style="1666" customWidth="1"/>
    <col min="10530" max="10752" width="11.42578125" style="1666"/>
    <col min="10753" max="10753" width="49.7109375" style="1666" customWidth="1"/>
    <col min="10754" max="10754" width="16.85546875" style="1666" customWidth="1"/>
    <col min="10755" max="10755" width="15" style="1666" customWidth="1"/>
    <col min="10756" max="10756" width="12.28515625" style="1666" customWidth="1"/>
    <col min="10757" max="10757" width="8.42578125" style="1666" customWidth="1"/>
    <col min="10758" max="10758" width="14.42578125" style="1666" customWidth="1"/>
    <col min="10759" max="10759" width="17.42578125" style="1666" customWidth="1"/>
    <col min="10760" max="10760" width="9" style="1666" customWidth="1"/>
    <col min="10761" max="10761" width="12.140625" style="1666" customWidth="1"/>
    <col min="10762" max="10762" width="8.42578125" style="1666" customWidth="1"/>
    <col min="10763" max="10763" width="12" style="1666" customWidth="1"/>
    <col min="10764" max="10764" width="11.42578125" style="1666"/>
    <col min="10765" max="10765" width="11.28515625" style="1666" customWidth="1"/>
    <col min="10766" max="10766" width="13.7109375" style="1666" customWidth="1"/>
    <col min="10767" max="10767" width="16.7109375" style="1666" customWidth="1"/>
    <col min="10768" max="10768" width="13.42578125" style="1666" customWidth="1"/>
    <col min="10769" max="10769" width="11.42578125" style="1666"/>
    <col min="10770" max="10770" width="13.7109375" style="1666" customWidth="1"/>
    <col min="10771" max="10772" width="11.42578125" style="1666"/>
    <col min="10773" max="10773" width="17.28515625" style="1666" customWidth="1"/>
    <col min="10774" max="10776" width="11.42578125" style="1666"/>
    <col min="10777" max="10777" width="12.42578125" style="1666" customWidth="1"/>
    <col min="10778" max="10778" width="30.85546875" style="1666" customWidth="1"/>
    <col min="10779" max="10781" width="11.42578125" style="1666"/>
    <col min="10782" max="10782" width="12.85546875" style="1666" customWidth="1"/>
    <col min="10783" max="10784" width="11.42578125" style="1666"/>
    <col min="10785" max="10785" width="19.85546875" style="1666" customWidth="1"/>
    <col min="10786" max="11008" width="11.42578125" style="1666"/>
    <col min="11009" max="11009" width="49.7109375" style="1666" customWidth="1"/>
    <col min="11010" max="11010" width="16.85546875" style="1666" customWidth="1"/>
    <col min="11011" max="11011" width="15" style="1666" customWidth="1"/>
    <col min="11012" max="11012" width="12.28515625" style="1666" customWidth="1"/>
    <col min="11013" max="11013" width="8.42578125" style="1666" customWidth="1"/>
    <col min="11014" max="11014" width="14.42578125" style="1666" customWidth="1"/>
    <col min="11015" max="11015" width="17.42578125" style="1666" customWidth="1"/>
    <col min="11016" max="11016" width="9" style="1666" customWidth="1"/>
    <col min="11017" max="11017" width="12.140625" style="1666" customWidth="1"/>
    <col min="11018" max="11018" width="8.42578125" style="1666" customWidth="1"/>
    <col min="11019" max="11019" width="12" style="1666" customWidth="1"/>
    <col min="11020" max="11020" width="11.42578125" style="1666"/>
    <col min="11021" max="11021" width="11.28515625" style="1666" customWidth="1"/>
    <col min="11022" max="11022" width="13.7109375" style="1666" customWidth="1"/>
    <col min="11023" max="11023" width="16.7109375" style="1666" customWidth="1"/>
    <col min="11024" max="11024" width="13.42578125" style="1666" customWidth="1"/>
    <col min="11025" max="11025" width="11.42578125" style="1666"/>
    <col min="11026" max="11026" width="13.7109375" style="1666" customWidth="1"/>
    <col min="11027" max="11028" width="11.42578125" style="1666"/>
    <col min="11029" max="11029" width="17.28515625" style="1666" customWidth="1"/>
    <col min="11030" max="11032" width="11.42578125" style="1666"/>
    <col min="11033" max="11033" width="12.42578125" style="1666" customWidth="1"/>
    <col min="11034" max="11034" width="30.85546875" style="1666" customWidth="1"/>
    <col min="11035" max="11037" width="11.42578125" style="1666"/>
    <col min="11038" max="11038" width="12.85546875" style="1666" customWidth="1"/>
    <col min="11039" max="11040" width="11.42578125" style="1666"/>
    <col min="11041" max="11041" width="19.85546875" style="1666" customWidth="1"/>
    <col min="11042" max="11264" width="11.42578125" style="1666"/>
    <col min="11265" max="11265" width="49.7109375" style="1666" customWidth="1"/>
    <col min="11266" max="11266" width="16.85546875" style="1666" customWidth="1"/>
    <col min="11267" max="11267" width="15" style="1666" customWidth="1"/>
    <col min="11268" max="11268" width="12.28515625" style="1666" customWidth="1"/>
    <col min="11269" max="11269" width="8.42578125" style="1666" customWidth="1"/>
    <col min="11270" max="11270" width="14.42578125" style="1666" customWidth="1"/>
    <col min="11271" max="11271" width="17.42578125" style="1666" customWidth="1"/>
    <col min="11272" max="11272" width="9" style="1666" customWidth="1"/>
    <col min="11273" max="11273" width="12.140625" style="1666" customWidth="1"/>
    <col min="11274" max="11274" width="8.42578125" style="1666" customWidth="1"/>
    <col min="11275" max="11275" width="12" style="1666" customWidth="1"/>
    <col min="11276" max="11276" width="11.42578125" style="1666"/>
    <col min="11277" max="11277" width="11.28515625" style="1666" customWidth="1"/>
    <col min="11278" max="11278" width="13.7109375" style="1666" customWidth="1"/>
    <col min="11279" max="11279" width="16.7109375" style="1666" customWidth="1"/>
    <col min="11280" max="11280" width="13.42578125" style="1666" customWidth="1"/>
    <col min="11281" max="11281" width="11.42578125" style="1666"/>
    <col min="11282" max="11282" width="13.7109375" style="1666" customWidth="1"/>
    <col min="11283" max="11284" width="11.42578125" style="1666"/>
    <col min="11285" max="11285" width="17.28515625" style="1666" customWidth="1"/>
    <col min="11286" max="11288" width="11.42578125" style="1666"/>
    <col min="11289" max="11289" width="12.42578125" style="1666" customWidth="1"/>
    <col min="11290" max="11290" width="30.85546875" style="1666" customWidth="1"/>
    <col min="11291" max="11293" width="11.42578125" style="1666"/>
    <col min="11294" max="11294" width="12.85546875" style="1666" customWidth="1"/>
    <col min="11295" max="11296" width="11.42578125" style="1666"/>
    <col min="11297" max="11297" width="19.85546875" style="1666" customWidth="1"/>
    <col min="11298" max="11520" width="11.42578125" style="1666"/>
    <col min="11521" max="11521" width="49.7109375" style="1666" customWidth="1"/>
    <col min="11522" max="11522" width="16.85546875" style="1666" customWidth="1"/>
    <col min="11523" max="11523" width="15" style="1666" customWidth="1"/>
    <col min="11524" max="11524" width="12.28515625" style="1666" customWidth="1"/>
    <col min="11525" max="11525" width="8.42578125" style="1666" customWidth="1"/>
    <col min="11526" max="11526" width="14.42578125" style="1666" customWidth="1"/>
    <col min="11527" max="11527" width="17.42578125" style="1666" customWidth="1"/>
    <col min="11528" max="11528" width="9" style="1666" customWidth="1"/>
    <col min="11529" max="11529" width="12.140625" style="1666" customWidth="1"/>
    <col min="11530" max="11530" width="8.42578125" style="1666" customWidth="1"/>
    <col min="11531" max="11531" width="12" style="1666" customWidth="1"/>
    <col min="11532" max="11532" width="11.42578125" style="1666"/>
    <col min="11533" max="11533" width="11.28515625" style="1666" customWidth="1"/>
    <col min="11534" max="11534" width="13.7109375" style="1666" customWidth="1"/>
    <col min="11535" max="11535" width="16.7109375" style="1666" customWidth="1"/>
    <col min="11536" max="11536" width="13.42578125" style="1666" customWidth="1"/>
    <col min="11537" max="11537" width="11.42578125" style="1666"/>
    <col min="11538" max="11538" width="13.7109375" style="1666" customWidth="1"/>
    <col min="11539" max="11540" width="11.42578125" style="1666"/>
    <col min="11541" max="11541" width="17.28515625" style="1666" customWidth="1"/>
    <col min="11542" max="11544" width="11.42578125" style="1666"/>
    <col min="11545" max="11545" width="12.42578125" style="1666" customWidth="1"/>
    <col min="11546" max="11546" width="30.85546875" style="1666" customWidth="1"/>
    <col min="11547" max="11549" width="11.42578125" style="1666"/>
    <col min="11550" max="11550" width="12.85546875" style="1666" customWidth="1"/>
    <col min="11551" max="11552" width="11.42578125" style="1666"/>
    <col min="11553" max="11553" width="19.85546875" style="1666" customWidth="1"/>
    <col min="11554" max="11776" width="11.42578125" style="1666"/>
    <col min="11777" max="11777" width="49.7109375" style="1666" customWidth="1"/>
    <col min="11778" max="11778" width="16.85546875" style="1666" customWidth="1"/>
    <col min="11779" max="11779" width="15" style="1666" customWidth="1"/>
    <col min="11780" max="11780" width="12.28515625" style="1666" customWidth="1"/>
    <col min="11781" max="11781" width="8.42578125" style="1666" customWidth="1"/>
    <col min="11782" max="11782" width="14.42578125" style="1666" customWidth="1"/>
    <col min="11783" max="11783" width="17.42578125" style="1666" customWidth="1"/>
    <col min="11784" max="11784" width="9" style="1666" customWidth="1"/>
    <col min="11785" max="11785" width="12.140625" style="1666" customWidth="1"/>
    <col min="11786" max="11786" width="8.42578125" style="1666" customWidth="1"/>
    <col min="11787" max="11787" width="12" style="1666" customWidth="1"/>
    <col min="11788" max="11788" width="11.42578125" style="1666"/>
    <col min="11789" max="11789" width="11.28515625" style="1666" customWidth="1"/>
    <col min="11790" max="11790" width="13.7109375" style="1666" customWidth="1"/>
    <col min="11791" max="11791" width="16.7109375" style="1666" customWidth="1"/>
    <col min="11792" max="11792" width="13.42578125" style="1666" customWidth="1"/>
    <col min="11793" max="11793" width="11.42578125" style="1666"/>
    <col min="11794" max="11794" width="13.7109375" style="1666" customWidth="1"/>
    <col min="11795" max="11796" width="11.42578125" style="1666"/>
    <col min="11797" max="11797" width="17.28515625" style="1666" customWidth="1"/>
    <col min="11798" max="11800" width="11.42578125" style="1666"/>
    <col min="11801" max="11801" width="12.42578125" style="1666" customWidth="1"/>
    <col min="11802" max="11802" width="30.85546875" style="1666" customWidth="1"/>
    <col min="11803" max="11805" width="11.42578125" style="1666"/>
    <col min="11806" max="11806" width="12.85546875" style="1666" customWidth="1"/>
    <col min="11807" max="11808" width="11.42578125" style="1666"/>
    <col min="11809" max="11809" width="19.85546875" style="1666" customWidth="1"/>
    <col min="11810" max="12032" width="11.42578125" style="1666"/>
    <col min="12033" max="12033" width="49.7109375" style="1666" customWidth="1"/>
    <col min="12034" max="12034" width="16.85546875" style="1666" customWidth="1"/>
    <col min="12035" max="12035" width="15" style="1666" customWidth="1"/>
    <col min="12036" max="12036" width="12.28515625" style="1666" customWidth="1"/>
    <col min="12037" max="12037" width="8.42578125" style="1666" customWidth="1"/>
    <col min="12038" max="12038" width="14.42578125" style="1666" customWidth="1"/>
    <col min="12039" max="12039" width="17.42578125" style="1666" customWidth="1"/>
    <col min="12040" max="12040" width="9" style="1666" customWidth="1"/>
    <col min="12041" max="12041" width="12.140625" style="1666" customWidth="1"/>
    <col min="12042" max="12042" width="8.42578125" style="1666" customWidth="1"/>
    <col min="12043" max="12043" width="12" style="1666" customWidth="1"/>
    <col min="12044" max="12044" width="11.42578125" style="1666"/>
    <col min="12045" max="12045" width="11.28515625" style="1666" customWidth="1"/>
    <col min="12046" max="12046" width="13.7109375" style="1666" customWidth="1"/>
    <col min="12047" max="12047" width="16.7109375" style="1666" customWidth="1"/>
    <col min="12048" max="12048" width="13.42578125" style="1666" customWidth="1"/>
    <col min="12049" max="12049" width="11.42578125" style="1666"/>
    <col min="12050" max="12050" width="13.7109375" style="1666" customWidth="1"/>
    <col min="12051" max="12052" width="11.42578125" style="1666"/>
    <col min="12053" max="12053" width="17.28515625" style="1666" customWidth="1"/>
    <col min="12054" max="12056" width="11.42578125" style="1666"/>
    <col min="12057" max="12057" width="12.42578125" style="1666" customWidth="1"/>
    <col min="12058" max="12058" width="30.85546875" style="1666" customWidth="1"/>
    <col min="12059" max="12061" width="11.42578125" style="1666"/>
    <col min="12062" max="12062" width="12.85546875" style="1666" customWidth="1"/>
    <col min="12063" max="12064" width="11.42578125" style="1666"/>
    <col min="12065" max="12065" width="19.85546875" style="1666" customWidth="1"/>
    <col min="12066" max="12288" width="11.42578125" style="1666"/>
    <col min="12289" max="12289" width="49.7109375" style="1666" customWidth="1"/>
    <col min="12290" max="12290" width="16.85546875" style="1666" customWidth="1"/>
    <col min="12291" max="12291" width="15" style="1666" customWidth="1"/>
    <col min="12292" max="12292" width="12.28515625" style="1666" customWidth="1"/>
    <col min="12293" max="12293" width="8.42578125" style="1666" customWidth="1"/>
    <col min="12294" max="12294" width="14.42578125" style="1666" customWidth="1"/>
    <col min="12295" max="12295" width="17.42578125" style="1666" customWidth="1"/>
    <col min="12296" max="12296" width="9" style="1666" customWidth="1"/>
    <col min="12297" max="12297" width="12.140625" style="1666" customWidth="1"/>
    <col min="12298" max="12298" width="8.42578125" style="1666" customWidth="1"/>
    <col min="12299" max="12299" width="12" style="1666" customWidth="1"/>
    <col min="12300" max="12300" width="11.42578125" style="1666"/>
    <col min="12301" max="12301" width="11.28515625" style="1666" customWidth="1"/>
    <col min="12302" max="12302" width="13.7109375" style="1666" customWidth="1"/>
    <col min="12303" max="12303" width="16.7109375" style="1666" customWidth="1"/>
    <col min="12304" max="12304" width="13.42578125" style="1666" customWidth="1"/>
    <col min="12305" max="12305" width="11.42578125" style="1666"/>
    <col min="12306" max="12306" width="13.7109375" style="1666" customWidth="1"/>
    <col min="12307" max="12308" width="11.42578125" style="1666"/>
    <col min="12309" max="12309" width="17.28515625" style="1666" customWidth="1"/>
    <col min="12310" max="12312" width="11.42578125" style="1666"/>
    <col min="12313" max="12313" width="12.42578125" style="1666" customWidth="1"/>
    <col min="12314" max="12314" width="30.85546875" style="1666" customWidth="1"/>
    <col min="12315" max="12317" width="11.42578125" style="1666"/>
    <col min="12318" max="12318" width="12.85546875" style="1666" customWidth="1"/>
    <col min="12319" max="12320" width="11.42578125" style="1666"/>
    <col min="12321" max="12321" width="19.85546875" style="1666" customWidth="1"/>
    <col min="12322" max="12544" width="11.42578125" style="1666"/>
    <col min="12545" max="12545" width="49.7109375" style="1666" customWidth="1"/>
    <col min="12546" max="12546" width="16.85546875" style="1666" customWidth="1"/>
    <col min="12547" max="12547" width="15" style="1666" customWidth="1"/>
    <col min="12548" max="12548" width="12.28515625" style="1666" customWidth="1"/>
    <col min="12549" max="12549" width="8.42578125" style="1666" customWidth="1"/>
    <col min="12550" max="12550" width="14.42578125" style="1666" customWidth="1"/>
    <col min="12551" max="12551" width="17.42578125" style="1666" customWidth="1"/>
    <col min="12552" max="12552" width="9" style="1666" customWidth="1"/>
    <col min="12553" max="12553" width="12.140625" style="1666" customWidth="1"/>
    <col min="12554" max="12554" width="8.42578125" style="1666" customWidth="1"/>
    <col min="12555" max="12555" width="12" style="1666" customWidth="1"/>
    <col min="12556" max="12556" width="11.42578125" style="1666"/>
    <col min="12557" max="12557" width="11.28515625" style="1666" customWidth="1"/>
    <col min="12558" max="12558" width="13.7109375" style="1666" customWidth="1"/>
    <col min="12559" max="12559" width="16.7109375" style="1666" customWidth="1"/>
    <col min="12560" max="12560" width="13.42578125" style="1666" customWidth="1"/>
    <col min="12561" max="12561" width="11.42578125" style="1666"/>
    <col min="12562" max="12562" width="13.7109375" style="1666" customWidth="1"/>
    <col min="12563" max="12564" width="11.42578125" style="1666"/>
    <col min="12565" max="12565" width="17.28515625" style="1666" customWidth="1"/>
    <col min="12566" max="12568" width="11.42578125" style="1666"/>
    <col min="12569" max="12569" width="12.42578125" style="1666" customWidth="1"/>
    <col min="12570" max="12570" width="30.85546875" style="1666" customWidth="1"/>
    <col min="12571" max="12573" width="11.42578125" style="1666"/>
    <col min="12574" max="12574" width="12.85546875" style="1666" customWidth="1"/>
    <col min="12575" max="12576" width="11.42578125" style="1666"/>
    <col min="12577" max="12577" width="19.85546875" style="1666" customWidth="1"/>
    <col min="12578" max="12800" width="11.42578125" style="1666"/>
    <col min="12801" max="12801" width="49.7109375" style="1666" customWidth="1"/>
    <col min="12802" max="12802" width="16.85546875" style="1666" customWidth="1"/>
    <col min="12803" max="12803" width="15" style="1666" customWidth="1"/>
    <col min="12804" max="12804" width="12.28515625" style="1666" customWidth="1"/>
    <col min="12805" max="12805" width="8.42578125" style="1666" customWidth="1"/>
    <col min="12806" max="12806" width="14.42578125" style="1666" customWidth="1"/>
    <col min="12807" max="12807" width="17.42578125" style="1666" customWidth="1"/>
    <col min="12808" max="12808" width="9" style="1666" customWidth="1"/>
    <col min="12809" max="12809" width="12.140625" style="1666" customWidth="1"/>
    <col min="12810" max="12810" width="8.42578125" style="1666" customWidth="1"/>
    <col min="12811" max="12811" width="12" style="1666" customWidth="1"/>
    <col min="12812" max="12812" width="11.42578125" style="1666"/>
    <col min="12813" max="12813" width="11.28515625" style="1666" customWidth="1"/>
    <col min="12814" max="12814" width="13.7109375" style="1666" customWidth="1"/>
    <col min="12815" max="12815" width="16.7109375" style="1666" customWidth="1"/>
    <col min="12816" max="12816" width="13.42578125" style="1666" customWidth="1"/>
    <col min="12817" max="12817" width="11.42578125" style="1666"/>
    <col min="12818" max="12818" width="13.7109375" style="1666" customWidth="1"/>
    <col min="12819" max="12820" width="11.42578125" style="1666"/>
    <col min="12821" max="12821" width="17.28515625" style="1666" customWidth="1"/>
    <col min="12822" max="12824" width="11.42578125" style="1666"/>
    <col min="12825" max="12825" width="12.42578125" style="1666" customWidth="1"/>
    <col min="12826" max="12826" width="30.85546875" style="1666" customWidth="1"/>
    <col min="12827" max="12829" width="11.42578125" style="1666"/>
    <col min="12830" max="12830" width="12.85546875" style="1666" customWidth="1"/>
    <col min="12831" max="12832" width="11.42578125" style="1666"/>
    <col min="12833" max="12833" width="19.85546875" style="1666" customWidth="1"/>
    <col min="12834" max="13056" width="11.42578125" style="1666"/>
    <col min="13057" max="13057" width="49.7109375" style="1666" customWidth="1"/>
    <col min="13058" max="13058" width="16.85546875" style="1666" customWidth="1"/>
    <col min="13059" max="13059" width="15" style="1666" customWidth="1"/>
    <col min="13060" max="13060" width="12.28515625" style="1666" customWidth="1"/>
    <col min="13061" max="13061" width="8.42578125" style="1666" customWidth="1"/>
    <col min="13062" max="13062" width="14.42578125" style="1666" customWidth="1"/>
    <col min="13063" max="13063" width="17.42578125" style="1666" customWidth="1"/>
    <col min="13064" max="13064" width="9" style="1666" customWidth="1"/>
    <col min="13065" max="13065" width="12.140625" style="1666" customWidth="1"/>
    <col min="13066" max="13066" width="8.42578125" style="1666" customWidth="1"/>
    <col min="13067" max="13067" width="12" style="1666" customWidth="1"/>
    <col min="13068" max="13068" width="11.42578125" style="1666"/>
    <col min="13069" max="13069" width="11.28515625" style="1666" customWidth="1"/>
    <col min="13070" max="13070" width="13.7109375" style="1666" customWidth="1"/>
    <col min="13071" max="13071" width="16.7109375" style="1666" customWidth="1"/>
    <col min="13072" max="13072" width="13.42578125" style="1666" customWidth="1"/>
    <col min="13073" max="13073" width="11.42578125" style="1666"/>
    <col min="13074" max="13074" width="13.7109375" style="1666" customWidth="1"/>
    <col min="13075" max="13076" width="11.42578125" style="1666"/>
    <col min="13077" max="13077" width="17.28515625" style="1666" customWidth="1"/>
    <col min="13078" max="13080" width="11.42578125" style="1666"/>
    <col min="13081" max="13081" width="12.42578125" style="1666" customWidth="1"/>
    <col min="13082" max="13082" width="30.85546875" style="1666" customWidth="1"/>
    <col min="13083" max="13085" width="11.42578125" style="1666"/>
    <col min="13086" max="13086" width="12.85546875" style="1666" customWidth="1"/>
    <col min="13087" max="13088" width="11.42578125" style="1666"/>
    <col min="13089" max="13089" width="19.85546875" style="1666" customWidth="1"/>
    <col min="13090" max="13312" width="11.42578125" style="1666"/>
    <col min="13313" max="13313" width="49.7109375" style="1666" customWidth="1"/>
    <col min="13314" max="13314" width="16.85546875" style="1666" customWidth="1"/>
    <col min="13315" max="13315" width="15" style="1666" customWidth="1"/>
    <col min="13316" max="13316" width="12.28515625" style="1666" customWidth="1"/>
    <col min="13317" max="13317" width="8.42578125" style="1666" customWidth="1"/>
    <col min="13318" max="13318" width="14.42578125" style="1666" customWidth="1"/>
    <col min="13319" max="13319" width="17.42578125" style="1666" customWidth="1"/>
    <col min="13320" max="13320" width="9" style="1666" customWidth="1"/>
    <col min="13321" max="13321" width="12.140625" style="1666" customWidth="1"/>
    <col min="13322" max="13322" width="8.42578125" style="1666" customWidth="1"/>
    <col min="13323" max="13323" width="12" style="1666" customWidth="1"/>
    <col min="13324" max="13324" width="11.42578125" style="1666"/>
    <col min="13325" max="13325" width="11.28515625" style="1666" customWidth="1"/>
    <col min="13326" max="13326" width="13.7109375" style="1666" customWidth="1"/>
    <col min="13327" max="13327" width="16.7109375" style="1666" customWidth="1"/>
    <col min="13328" max="13328" width="13.42578125" style="1666" customWidth="1"/>
    <col min="13329" max="13329" width="11.42578125" style="1666"/>
    <col min="13330" max="13330" width="13.7109375" style="1666" customWidth="1"/>
    <col min="13331" max="13332" width="11.42578125" style="1666"/>
    <col min="13333" max="13333" width="17.28515625" style="1666" customWidth="1"/>
    <col min="13334" max="13336" width="11.42578125" style="1666"/>
    <col min="13337" max="13337" width="12.42578125" style="1666" customWidth="1"/>
    <col min="13338" max="13338" width="30.85546875" style="1666" customWidth="1"/>
    <col min="13339" max="13341" width="11.42578125" style="1666"/>
    <col min="13342" max="13342" width="12.85546875" style="1666" customWidth="1"/>
    <col min="13343" max="13344" width="11.42578125" style="1666"/>
    <col min="13345" max="13345" width="19.85546875" style="1666" customWidth="1"/>
    <col min="13346" max="13568" width="11.42578125" style="1666"/>
    <col min="13569" max="13569" width="49.7109375" style="1666" customWidth="1"/>
    <col min="13570" max="13570" width="16.85546875" style="1666" customWidth="1"/>
    <col min="13571" max="13571" width="15" style="1666" customWidth="1"/>
    <col min="13572" max="13572" width="12.28515625" style="1666" customWidth="1"/>
    <col min="13573" max="13573" width="8.42578125" style="1666" customWidth="1"/>
    <col min="13574" max="13574" width="14.42578125" style="1666" customWidth="1"/>
    <col min="13575" max="13575" width="17.42578125" style="1666" customWidth="1"/>
    <col min="13576" max="13576" width="9" style="1666" customWidth="1"/>
    <col min="13577" max="13577" width="12.140625" style="1666" customWidth="1"/>
    <col min="13578" max="13578" width="8.42578125" style="1666" customWidth="1"/>
    <col min="13579" max="13579" width="12" style="1666" customWidth="1"/>
    <col min="13580" max="13580" width="11.42578125" style="1666"/>
    <col min="13581" max="13581" width="11.28515625" style="1666" customWidth="1"/>
    <col min="13582" max="13582" width="13.7109375" style="1666" customWidth="1"/>
    <col min="13583" max="13583" width="16.7109375" style="1666" customWidth="1"/>
    <col min="13584" max="13584" width="13.42578125" style="1666" customWidth="1"/>
    <col min="13585" max="13585" width="11.42578125" style="1666"/>
    <col min="13586" max="13586" width="13.7109375" style="1666" customWidth="1"/>
    <col min="13587" max="13588" width="11.42578125" style="1666"/>
    <col min="13589" max="13589" width="17.28515625" style="1666" customWidth="1"/>
    <col min="13590" max="13592" width="11.42578125" style="1666"/>
    <col min="13593" max="13593" width="12.42578125" style="1666" customWidth="1"/>
    <col min="13594" max="13594" width="30.85546875" style="1666" customWidth="1"/>
    <col min="13595" max="13597" width="11.42578125" style="1666"/>
    <col min="13598" max="13598" width="12.85546875" style="1666" customWidth="1"/>
    <col min="13599" max="13600" width="11.42578125" style="1666"/>
    <col min="13601" max="13601" width="19.85546875" style="1666" customWidth="1"/>
    <col min="13602" max="13824" width="11.42578125" style="1666"/>
    <col min="13825" max="13825" width="49.7109375" style="1666" customWidth="1"/>
    <col min="13826" max="13826" width="16.85546875" style="1666" customWidth="1"/>
    <col min="13827" max="13827" width="15" style="1666" customWidth="1"/>
    <col min="13828" max="13828" width="12.28515625" style="1666" customWidth="1"/>
    <col min="13829" max="13829" width="8.42578125" style="1666" customWidth="1"/>
    <col min="13830" max="13830" width="14.42578125" style="1666" customWidth="1"/>
    <col min="13831" max="13831" width="17.42578125" style="1666" customWidth="1"/>
    <col min="13832" max="13832" width="9" style="1666" customWidth="1"/>
    <col min="13833" max="13833" width="12.140625" style="1666" customWidth="1"/>
    <col min="13834" max="13834" width="8.42578125" style="1666" customWidth="1"/>
    <col min="13835" max="13835" width="12" style="1666" customWidth="1"/>
    <col min="13836" max="13836" width="11.42578125" style="1666"/>
    <col min="13837" max="13837" width="11.28515625" style="1666" customWidth="1"/>
    <col min="13838" max="13838" width="13.7109375" style="1666" customWidth="1"/>
    <col min="13839" max="13839" width="16.7109375" style="1666" customWidth="1"/>
    <col min="13840" max="13840" width="13.42578125" style="1666" customWidth="1"/>
    <col min="13841" max="13841" width="11.42578125" style="1666"/>
    <col min="13842" max="13842" width="13.7109375" style="1666" customWidth="1"/>
    <col min="13843" max="13844" width="11.42578125" style="1666"/>
    <col min="13845" max="13845" width="17.28515625" style="1666" customWidth="1"/>
    <col min="13846" max="13848" width="11.42578125" style="1666"/>
    <col min="13849" max="13849" width="12.42578125" style="1666" customWidth="1"/>
    <col min="13850" max="13850" width="30.85546875" style="1666" customWidth="1"/>
    <col min="13851" max="13853" width="11.42578125" style="1666"/>
    <col min="13854" max="13854" width="12.85546875" style="1666" customWidth="1"/>
    <col min="13855" max="13856" width="11.42578125" style="1666"/>
    <col min="13857" max="13857" width="19.85546875" style="1666" customWidth="1"/>
    <col min="13858" max="14080" width="11.42578125" style="1666"/>
    <col min="14081" max="14081" width="49.7109375" style="1666" customWidth="1"/>
    <col min="14082" max="14082" width="16.85546875" style="1666" customWidth="1"/>
    <col min="14083" max="14083" width="15" style="1666" customWidth="1"/>
    <col min="14084" max="14084" width="12.28515625" style="1666" customWidth="1"/>
    <col min="14085" max="14085" width="8.42578125" style="1666" customWidth="1"/>
    <col min="14086" max="14086" width="14.42578125" style="1666" customWidth="1"/>
    <col min="14087" max="14087" width="17.42578125" style="1666" customWidth="1"/>
    <col min="14088" max="14088" width="9" style="1666" customWidth="1"/>
    <col min="14089" max="14089" width="12.140625" style="1666" customWidth="1"/>
    <col min="14090" max="14090" width="8.42578125" style="1666" customWidth="1"/>
    <col min="14091" max="14091" width="12" style="1666" customWidth="1"/>
    <col min="14092" max="14092" width="11.42578125" style="1666"/>
    <col min="14093" max="14093" width="11.28515625" style="1666" customWidth="1"/>
    <col min="14094" max="14094" width="13.7109375" style="1666" customWidth="1"/>
    <col min="14095" max="14095" width="16.7109375" style="1666" customWidth="1"/>
    <col min="14096" max="14096" width="13.42578125" style="1666" customWidth="1"/>
    <col min="14097" max="14097" width="11.42578125" style="1666"/>
    <col min="14098" max="14098" width="13.7109375" style="1666" customWidth="1"/>
    <col min="14099" max="14100" width="11.42578125" style="1666"/>
    <col min="14101" max="14101" width="17.28515625" style="1666" customWidth="1"/>
    <col min="14102" max="14104" width="11.42578125" style="1666"/>
    <col min="14105" max="14105" width="12.42578125" style="1666" customWidth="1"/>
    <col min="14106" max="14106" width="30.85546875" style="1666" customWidth="1"/>
    <col min="14107" max="14109" width="11.42578125" style="1666"/>
    <col min="14110" max="14110" width="12.85546875" style="1666" customWidth="1"/>
    <col min="14111" max="14112" width="11.42578125" style="1666"/>
    <col min="14113" max="14113" width="19.85546875" style="1666" customWidth="1"/>
    <col min="14114" max="14336" width="11.42578125" style="1666"/>
    <col min="14337" max="14337" width="49.7109375" style="1666" customWidth="1"/>
    <col min="14338" max="14338" width="16.85546875" style="1666" customWidth="1"/>
    <col min="14339" max="14339" width="15" style="1666" customWidth="1"/>
    <col min="14340" max="14340" width="12.28515625" style="1666" customWidth="1"/>
    <col min="14341" max="14341" width="8.42578125" style="1666" customWidth="1"/>
    <col min="14342" max="14342" width="14.42578125" style="1666" customWidth="1"/>
    <col min="14343" max="14343" width="17.42578125" style="1666" customWidth="1"/>
    <col min="14344" max="14344" width="9" style="1666" customWidth="1"/>
    <col min="14345" max="14345" width="12.140625" style="1666" customWidth="1"/>
    <col min="14346" max="14346" width="8.42578125" style="1666" customWidth="1"/>
    <col min="14347" max="14347" width="12" style="1666" customWidth="1"/>
    <col min="14348" max="14348" width="11.42578125" style="1666"/>
    <col min="14349" max="14349" width="11.28515625" style="1666" customWidth="1"/>
    <col min="14350" max="14350" width="13.7109375" style="1666" customWidth="1"/>
    <col min="14351" max="14351" width="16.7109375" style="1666" customWidth="1"/>
    <col min="14352" max="14352" width="13.42578125" style="1666" customWidth="1"/>
    <col min="14353" max="14353" width="11.42578125" style="1666"/>
    <col min="14354" max="14354" width="13.7109375" style="1666" customWidth="1"/>
    <col min="14355" max="14356" width="11.42578125" style="1666"/>
    <col min="14357" max="14357" width="17.28515625" style="1666" customWidth="1"/>
    <col min="14358" max="14360" width="11.42578125" style="1666"/>
    <col min="14361" max="14361" width="12.42578125" style="1666" customWidth="1"/>
    <col min="14362" max="14362" width="30.85546875" style="1666" customWidth="1"/>
    <col min="14363" max="14365" width="11.42578125" style="1666"/>
    <col min="14366" max="14366" width="12.85546875" style="1666" customWidth="1"/>
    <col min="14367" max="14368" width="11.42578125" style="1666"/>
    <col min="14369" max="14369" width="19.85546875" style="1666" customWidth="1"/>
    <col min="14370" max="14592" width="11.42578125" style="1666"/>
    <col min="14593" max="14593" width="49.7109375" style="1666" customWidth="1"/>
    <col min="14594" max="14594" width="16.85546875" style="1666" customWidth="1"/>
    <col min="14595" max="14595" width="15" style="1666" customWidth="1"/>
    <col min="14596" max="14596" width="12.28515625" style="1666" customWidth="1"/>
    <col min="14597" max="14597" width="8.42578125" style="1666" customWidth="1"/>
    <col min="14598" max="14598" width="14.42578125" style="1666" customWidth="1"/>
    <col min="14599" max="14599" width="17.42578125" style="1666" customWidth="1"/>
    <col min="14600" max="14600" width="9" style="1666" customWidth="1"/>
    <col min="14601" max="14601" width="12.140625" style="1666" customWidth="1"/>
    <col min="14602" max="14602" width="8.42578125" style="1666" customWidth="1"/>
    <col min="14603" max="14603" width="12" style="1666" customWidth="1"/>
    <col min="14604" max="14604" width="11.42578125" style="1666"/>
    <col min="14605" max="14605" width="11.28515625" style="1666" customWidth="1"/>
    <col min="14606" max="14606" width="13.7109375" style="1666" customWidth="1"/>
    <col min="14607" max="14607" width="16.7109375" style="1666" customWidth="1"/>
    <col min="14608" max="14608" width="13.42578125" style="1666" customWidth="1"/>
    <col min="14609" max="14609" width="11.42578125" style="1666"/>
    <col min="14610" max="14610" width="13.7109375" style="1666" customWidth="1"/>
    <col min="14611" max="14612" width="11.42578125" style="1666"/>
    <col min="14613" max="14613" width="17.28515625" style="1666" customWidth="1"/>
    <col min="14614" max="14616" width="11.42578125" style="1666"/>
    <col min="14617" max="14617" width="12.42578125" style="1666" customWidth="1"/>
    <col min="14618" max="14618" width="30.85546875" style="1666" customWidth="1"/>
    <col min="14619" max="14621" width="11.42578125" style="1666"/>
    <col min="14622" max="14622" width="12.85546875" style="1666" customWidth="1"/>
    <col min="14623" max="14624" width="11.42578125" style="1666"/>
    <col min="14625" max="14625" width="19.85546875" style="1666" customWidth="1"/>
    <col min="14626" max="14848" width="11.42578125" style="1666"/>
    <col min="14849" max="14849" width="49.7109375" style="1666" customWidth="1"/>
    <col min="14850" max="14850" width="16.85546875" style="1666" customWidth="1"/>
    <col min="14851" max="14851" width="15" style="1666" customWidth="1"/>
    <col min="14852" max="14852" width="12.28515625" style="1666" customWidth="1"/>
    <col min="14853" max="14853" width="8.42578125" style="1666" customWidth="1"/>
    <col min="14854" max="14854" width="14.42578125" style="1666" customWidth="1"/>
    <col min="14855" max="14855" width="17.42578125" style="1666" customWidth="1"/>
    <col min="14856" max="14856" width="9" style="1666" customWidth="1"/>
    <col min="14857" max="14857" width="12.140625" style="1666" customWidth="1"/>
    <col min="14858" max="14858" width="8.42578125" style="1666" customWidth="1"/>
    <col min="14859" max="14859" width="12" style="1666" customWidth="1"/>
    <col min="14860" max="14860" width="11.42578125" style="1666"/>
    <col min="14861" max="14861" width="11.28515625" style="1666" customWidth="1"/>
    <col min="14862" max="14862" width="13.7109375" style="1666" customWidth="1"/>
    <col min="14863" max="14863" width="16.7109375" style="1666" customWidth="1"/>
    <col min="14864" max="14864" width="13.42578125" style="1666" customWidth="1"/>
    <col min="14865" max="14865" width="11.42578125" style="1666"/>
    <col min="14866" max="14866" width="13.7109375" style="1666" customWidth="1"/>
    <col min="14867" max="14868" width="11.42578125" style="1666"/>
    <col min="14869" max="14869" width="17.28515625" style="1666" customWidth="1"/>
    <col min="14870" max="14872" width="11.42578125" style="1666"/>
    <col min="14873" max="14873" width="12.42578125" style="1666" customWidth="1"/>
    <col min="14874" max="14874" width="30.85546875" style="1666" customWidth="1"/>
    <col min="14875" max="14877" width="11.42578125" style="1666"/>
    <col min="14878" max="14878" width="12.85546875" style="1666" customWidth="1"/>
    <col min="14879" max="14880" width="11.42578125" style="1666"/>
    <col min="14881" max="14881" width="19.85546875" style="1666" customWidth="1"/>
    <col min="14882" max="15104" width="11.42578125" style="1666"/>
    <col min="15105" max="15105" width="49.7109375" style="1666" customWidth="1"/>
    <col min="15106" max="15106" width="16.85546875" style="1666" customWidth="1"/>
    <col min="15107" max="15107" width="15" style="1666" customWidth="1"/>
    <col min="15108" max="15108" width="12.28515625" style="1666" customWidth="1"/>
    <col min="15109" max="15109" width="8.42578125" style="1666" customWidth="1"/>
    <col min="15110" max="15110" width="14.42578125" style="1666" customWidth="1"/>
    <col min="15111" max="15111" width="17.42578125" style="1666" customWidth="1"/>
    <col min="15112" max="15112" width="9" style="1666" customWidth="1"/>
    <col min="15113" max="15113" width="12.140625" style="1666" customWidth="1"/>
    <col min="15114" max="15114" width="8.42578125" style="1666" customWidth="1"/>
    <col min="15115" max="15115" width="12" style="1666" customWidth="1"/>
    <col min="15116" max="15116" width="11.42578125" style="1666"/>
    <col min="15117" max="15117" width="11.28515625" style="1666" customWidth="1"/>
    <col min="15118" max="15118" width="13.7109375" style="1666" customWidth="1"/>
    <col min="15119" max="15119" width="16.7109375" style="1666" customWidth="1"/>
    <col min="15120" max="15120" width="13.42578125" style="1666" customWidth="1"/>
    <col min="15121" max="15121" width="11.42578125" style="1666"/>
    <col min="15122" max="15122" width="13.7109375" style="1666" customWidth="1"/>
    <col min="15123" max="15124" width="11.42578125" style="1666"/>
    <col min="15125" max="15125" width="17.28515625" style="1666" customWidth="1"/>
    <col min="15126" max="15128" width="11.42578125" style="1666"/>
    <col min="15129" max="15129" width="12.42578125" style="1666" customWidth="1"/>
    <col min="15130" max="15130" width="30.85546875" style="1666" customWidth="1"/>
    <col min="15131" max="15133" width="11.42578125" style="1666"/>
    <col min="15134" max="15134" width="12.85546875" style="1666" customWidth="1"/>
    <col min="15135" max="15136" width="11.42578125" style="1666"/>
    <col min="15137" max="15137" width="19.85546875" style="1666" customWidth="1"/>
    <col min="15138" max="15360" width="11.42578125" style="1666"/>
    <col min="15361" max="15361" width="49.7109375" style="1666" customWidth="1"/>
    <col min="15362" max="15362" width="16.85546875" style="1666" customWidth="1"/>
    <col min="15363" max="15363" width="15" style="1666" customWidth="1"/>
    <col min="15364" max="15364" width="12.28515625" style="1666" customWidth="1"/>
    <col min="15365" max="15365" width="8.42578125" style="1666" customWidth="1"/>
    <col min="15366" max="15366" width="14.42578125" style="1666" customWidth="1"/>
    <col min="15367" max="15367" width="17.42578125" style="1666" customWidth="1"/>
    <col min="15368" max="15368" width="9" style="1666" customWidth="1"/>
    <col min="15369" max="15369" width="12.140625" style="1666" customWidth="1"/>
    <col min="15370" max="15370" width="8.42578125" style="1666" customWidth="1"/>
    <col min="15371" max="15371" width="12" style="1666" customWidth="1"/>
    <col min="15372" max="15372" width="11.42578125" style="1666"/>
    <col min="15373" max="15373" width="11.28515625" style="1666" customWidth="1"/>
    <col min="15374" max="15374" width="13.7109375" style="1666" customWidth="1"/>
    <col min="15375" max="15375" width="16.7109375" style="1666" customWidth="1"/>
    <col min="15376" max="15376" width="13.42578125" style="1666" customWidth="1"/>
    <col min="15377" max="15377" width="11.42578125" style="1666"/>
    <col min="15378" max="15378" width="13.7109375" style="1666" customWidth="1"/>
    <col min="15379" max="15380" width="11.42578125" style="1666"/>
    <col min="15381" max="15381" width="17.28515625" style="1666" customWidth="1"/>
    <col min="15382" max="15384" width="11.42578125" style="1666"/>
    <col min="15385" max="15385" width="12.42578125" style="1666" customWidth="1"/>
    <col min="15386" max="15386" width="30.85546875" style="1666" customWidth="1"/>
    <col min="15387" max="15389" width="11.42578125" style="1666"/>
    <col min="15390" max="15390" width="12.85546875" style="1666" customWidth="1"/>
    <col min="15391" max="15392" width="11.42578125" style="1666"/>
    <col min="15393" max="15393" width="19.85546875" style="1666" customWidth="1"/>
    <col min="15394" max="15616" width="11.42578125" style="1666"/>
    <col min="15617" max="15617" width="49.7109375" style="1666" customWidth="1"/>
    <col min="15618" max="15618" width="16.85546875" style="1666" customWidth="1"/>
    <col min="15619" max="15619" width="15" style="1666" customWidth="1"/>
    <col min="15620" max="15620" width="12.28515625" style="1666" customWidth="1"/>
    <col min="15621" max="15621" width="8.42578125" style="1666" customWidth="1"/>
    <col min="15622" max="15622" width="14.42578125" style="1666" customWidth="1"/>
    <col min="15623" max="15623" width="17.42578125" style="1666" customWidth="1"/>
    <col min="15624" max="15624" width="9" style="1666" customWidth="1"/>
    <col min="15625" max="15625" width="12.140625" style="1666" customWidth="1"/>
    <col min="15626" max="15626" width="8.42578125" style="1666" customWidth="1"/>
    <col min="15627" max="15627" width="12" style="1666" customWidth="1"/>
    <col min="15628" max="15628" width="11.42578125" style="1666"/>
    <col min="15629" max="15629" width="11.28515625" style="1666" customWidth="1"/>
    <col min="15630" max="15630" width="13.7109375" style="1666" customWidth="1"/>
    <col min="15631" max="15631" width="16.7109375" style="1666" customWidth="1"/>
    <col min="15632" max="15632" width="13.42578125" style="1666" customWidth="1"/>
    <col min="15633" max="15633" width="11.42578125" style="1666"/>
    <col min="15634" max="15634" width="13.7109375" style="1666" customWidth="1"/>
    <col min="15635" max="15636" width="11.42578125" style="1666"/>
    <col min="15637" max="15637" width="17.28515625" style="1666" customWidth="1"/>
    <col min="15638" max="15640" width="11.42578125" style="1666"/>
    <col min="15641" max="15641" width="12.42578125" style="1666" customWidth="1"/>
    <col min="15642" max="15642" width="30.85546875" style="1666" customWidth="1"/>
    <col min="15643" max="15645" width="11.42578125" style="1666"/>
    <col min="15646" max="15646" width="12.85546875" style="1666" customWidth="1"/>
    <col min="15647" max="15648" width="11.42578125" style="1666"/>
    <col min="15649" max="15649" width="19.85546875" style="1666" customWidth="1"/>
    <col min="15650" max="15872" width="11.42578125" style="1666"/>
    <col min="15873" max="15873" width="49.7109375" style="1666" customWidth="1"/>
    <col min="15874" max="15874" width="16.85546875" style="1666" customWidth="1"/>
    <col min="15875" max="15875" width="15" style="1666" customWidth="1"/>
    <col min="15876" max="15876" width="12.28515625" style="1666" customWidth="1"/>
    <col min="15877" max="15877" width="8.42578125" style="1666" customWidth="1"/>
    <col min="15878" max="15878" width="14.42578125" style="1666" customWidth="1"/>
    <col min="15879" max="15879" width="17.42578125" style="1666" customWidth="1"/>
    <col min="15880" max="15880" width="9" style="1666" customWidth="1"/>
    <col min="15881" max="15881" width="12.140625" style="1666" customWidth="1"/>
    <col min="15882" max="15882" width="8.42578125" style="1666" customWidth="1"/>
    <col min="15883" max="15883" width="12" style="1666" customWidth="1"/>
    <col min="15884" max="15884" width="11.42578125" style="1666"/>
    <col min="15885" max="15885" width="11.28515625" style="1666" customWidth="1"/>
    <col min="15886" max="15886" width="13.7109375" style="1666" customWidth="1"/>
    <col min="15887" max="15887" width="16.7109375" style="1666" customWidth="1"/>
    <col min="15888" max="15888" width="13.42578125" style="1666" customWidth="1"/>
    <col min="15889" max="15889" width="11.42578125" style="1666"/>
    <col min="15890" max="15890" width="13.7109375" style="1666" customWidth="1"/>
    <col min="15891" max="15892" width="11.42578125" style="1666"/>
    <col min="15893" max="15893" width="17.28515625" style="1666" customWidth="1"/>
    <col min="15894" max="15896" width="11.42578125" style="1666"/>
    <col min="15897" max="15897" width="12.42578125" style="1666" customWidth="1"/>
    <col min="15898" max="15898" width="30.85546875" style="1666" customWidth="1"/>
    <col min="15899" max="15901" width="11.42578125" style="1666"/>
    <col min="15902" max="15902" width="12.85546875" style="1666" customWidth="1"/>
    <col min="15903" max="15904" width="11.42578125" style="1666"/>
    <col min="15905" max="15905" width="19.85546875" style="1666" customWidth="1"/>
    <col min="15906" max="16128" width="11.42578125" style="1666"/>
    <col min="16129" max="16129" width="49.7109375" style="1666" customWidth="1"/>
    <col min="16130" max="16130" width="16.85546875" style="1666" customWidth="1"/>
    <col min="16131" max="16131" width="15" style="1666" customWidth="1"/>
    <col min="16132" max="16132" width="12.28515625" style="1666" customWidth="1"/>
    <col min="16133" max="16133" width="8.42578125" style="1666" customWidth="1"/>
    <col min="16134" max="16134" width="14.42578125" style="1666" customWidth="1"/>
    <col min="16135" max="16135" width="17.42578125" style="1666" customWidth="1"/>
    <col min="16136" max="16136" width="9" style="1666" customWidth="1"/>
    <col min="16137" max="16137" width="12.140625" style="1666" customWidth="1"/>
    <col min="16138" max="16138" width="8.42578125" style="1666" customWidth="1"/>
    <col min="16139" max="16139" width="12" style="1666" customWidth="1"/>
    <col min="16140" max="16140" width="11.42578125" style="1666"/>
    <col min="16141" max="16141" width="11.28515625" style="1666" customWidth="1"/>
    <col min="16142" max="16142" width="13.7109375" style="1666" customWidth="1"/>
    <col min="16143" max="16143" width="16.7109375" style="1666" customWidth="1"/>
    <col min="16144" max="16144" width="13.42578125" style="1666" customWidth="1"/>
    <col min="16145" max="16145" width="11.42578125" style="1666"/>
    <col min="16146" max="16146" width="13.7109375" style="1666" customWidth="1"/>
    <col min="16147" max="16148" width="11.42578125" style="1666"/>
    <col min="16149" max="16149" width="17.28515625" style="1666" customWidth="1"/>
    <col min="16150" max="16152" width="11.42578125" style="1666"/>
    <col min="16153" max="16153" width="12.42578125" style="1666" customWidth="1"/>
    <col min="16154" max="16154" width="30.85546875" style="1666" customWidth="1"/>
    <col min="16155" max="16157" width="11.42578125" style="1666"/>
    <col min="16158" max="16158" width="12.85546875" style="1666" customWidth="1"/>
    <col min="16159" max="16160" width="11.42578125" style="1666"/>
    <col min="16161" max="16161" width="19.85546875" style="1666" customWidth="1"/>
    <col min="16162" max="16384" width="11.42578125" style="1666"/>
  </cols>
  <sheetData>
    <row r="1" spans="1:29" s="1552" customFormat="1" ht="88.35" customHeight="1">
      <c r="A1" s="2096"/>
      <c r="B1" s="2096"/>
      <c r="C1" s="2096"/>
      <c r="D1" s="2096"/>
      <c r="E1" s="2096"/>
      <c r="F1" s="2096"/>
      <c r="G1" s="1558"/>
      <c r="H1" s="1558"/>
      <c r="I1" s="1558"/>
      <c r="J1" s="1558"/>
      <c r="K1" s="1558"/>
      <c r="L1" s="1558"/>
      <c r="M1" s="1558"/>
      <c r="N1" s="1558"/>
      <c r="O1" s="1558"/>
      <c r="P1" s="1558"/>
      <c r="Q1" s="1558"/>
      <c r="R1" s="1558"/>
      <c r="S1" s="1553"/>
      <c r="T1" s="1553"/>
      <c r="U1" s="1553"/>
      <c r="V1" s="1553"/>
      <c r="W1" s="1553"/>
      <c r="X1" s="1553"/>
      <c r="Y1" s="1553"/>
      <c r="Z1" s="1553"/>
      <c r="AA1" s="1553"/>
      <c r="AB1" s="1553"/>
      <c r="AC1" s="1553"/>
    </row>
    <row r="2" spans="1:29" s="1663" customFormat="1" ht="23.45" customHeight="1">
      <c r="A2" s="2095" t="s">
        <v>1552</v>
      </c>
      <c r="B2" s="2095"/>
      <c r="C2" s="2094"/>
      <c r="D2" s="2094"/>
      <c r="E2" s="2094"/>
      <c r="F2" s="2093"/>
      <c r="G2" s="2092"/>
      <c r="H2" s="2091"/>
      <c r="I2" s="2090"/>
      <c r="J2" s="2087"/>
      <c r="K2" s="2087"/>
      <c r="L2" s="2087"/>
      <c r="M2" s="2089"/>
      <c r="N2" s="1996"/>
      <c r="O2" s="1558"/>
      <c r="P2" s="1558"/>
      <c r="Q2" s="2016"/>
      <c r="R2" s="2016"/>
      <c r="S2" s="2016"/>
      <c r="T2" s="2016"/>
      <c r="U2" s="2016"/>
      <c r="V2" s="2016"/>
      <c r="W2" s="2016"/>
      <c r="X2" s="2016"/>
      <c r="Y2" s="2016"/>
      <c r="Z2" s="2016"/>
      <c r="AA2" s="2016"/>
      <c r="AB2" s="2016"/>
      <c r="AC2" s="2016"/>
    </row>
    <row r="3" spans="1:29" s="1996" customFormat="1" ht="28.5" customHeight="1">
      <c r="A3" s="2015" t="s">
        <v>283</v>
      </c>
      <c r="B3" s="2014"/>
      <c r="C3" s="2013"/>
      <c r="D3" s="2012"/>
      <c r="E3" s="2012"/>
      <c r="F3" s="2012"/>
      <c r="G3" s="2012"/>
      <c r="H3" s="2012"/>
      <c r="I3" s="2011"/>
    </row>
    <row r="4" spans="1:29" s="1557" customFormat="1" ht="15" customHeight="1">
      <c r="A4" s="3064" t="s">
        <v>1675</v>
      </c>
      <c r="B4" s="2888"/>
      <c r="C4" s="2888"/>
      <c r="D4" s="2888"/>
      <c r="E4" s="2888"/>
      <c r="F4" s="2888"/>
      <c r="G4" s="2888"/>
      <c r="H4" s="2888"/>
      <c r="I4" s="2889"/>
      <c r="J4" s="1552"/>
      <c r="K4" s="1552"/>
      <c r="L4" s="1552"/>
      <c r="M4" s="1552"/>
      <c r="N4" s="1558"/>
      <c r="O4" s="1558"/>
      <c r="P4" s="1558"/>
      <c r="Q4" s="1558"/>
      <c r="R4" s="1558"/>
      <c r="S4" s="1558"/>
      <c r="T4" s="1558"/>
      <c r="U4" s="1558"/>
      <c r="V4" s="1558"/>
      <c r="W4" s="1558"/>
      <c r="X4" s="1558"/>
      <c r="Y4" s="1558"/>
      <c r="Z4" s="1558"/>
      <c r="AA4" s="1558"/>
      <c r="AB4" s="1558"/>
      <c r="AC4" s="1558"/>
    </row>
    <row r="5" spans="1:29" s="1557" customFormat="1" ht="15" customHeight="1">
      <c r="A5" s="1703" t="s">
        <v>207</v>
      </c>
      <c r="B5" s="2006"/>
      <c r="C5" s="1702"/>
      <c r="D5" s="2006"/>
      <c r="E5" s="2006"/>
      <c r="F5" s="2006"/>
      <c r="G5" s="2003"/>
      <c r="H5" s="2003"/>
      <c r="I5" s="2002"/>
      <c r="J5" s="1558"/>
      <c r="K5" s="1558"/>
      <c r="L5" s="2088"/>
      <c r="M5" s="2088"/>
      <c r="N5" s="1558"/>
      <c r="O5" s="1558"/>
      <c r="P5" s="1558"/>
      <c r="Q5" s="1558"/>
      <c r="R5" s="1558"/>
      <c r="S5" s="1558"/>
      <c r="T5" s="1558"/>
      <c r="U5" s="1558"/>
      <c r="V5" s="1558"/>
      <c r="W5" s="1558"/>
      <c r="X5" s="1558"/>
      <c r="Y5" s="1558"/>
      <c r="Z5" s="1558"/>
      <c r="AA5" s="1558"/>
      <c r="AB5" s="1558"/>
      <c r="AC5" s="1558"/>
    </row>
    <row r="6" spans="1:29" s="1557" customFormat="1" ht="40.5" customHeight="1">
      <c r="A6" s="2010" t="s">
        <v>1653</v>
      </c>
      <c r="B6" s="2008"/>
      <c r="C6" s="2008"/>
      <c r="D6" s="2008"/>
      <c r="E6" s="2008"/>
      <c r="F6" s="2008"/>
      <c r="G6" s="2008"/>
      <c r="H6" s="2003"/>
      <c r="I6" s="2002"/>
      <c r="J6" s="1558"/>
      <c r="K6" s="1558"/>
      <c r="L6" s="2088"/>
      <c r="M6" s="2088"/>
      <c r="N6" s="1558"/>
      <c r="O6" s="1558"/>
      <c r="P6" s="1558"/>
      <c r="Q6" s="1558"/>
      <c r="R6" s="1558"/>
      <c r="S6" s="1558"/>
      <c r="T6" s="1558"/>
      <c r="U6" s="1558"/>
      <c r="V6" s="1558"/>
      <c r="W6" s="1558"/>
      <c r="X6" s="1558"/>
      <c r="Y6" s="1558"/>
      <c r="Z6" s="1558"/>
      <c r="AA6" s="1558"/>
      <c r="AB6" s="1558"/>
      <c r="AC6" s="1558"/>
    </row>
    <row r="7" spans="1:29" s="1557" customFormat="1" ht="17.25" customHeight="1">
      <c r="A7" s="3066"/>
      <c r="B7" s="2898"/>
      <c r="C7" s="2898"/>
      <c r="D7" s="2898"/>
      <c r="E7" s="2898"/>
      <c r="F7" s="2898"/>
      <c r="G7" s="2898"/>
      <c r="H7" s="2898"/>
      <c r="I7" s="2899"/>
      <c r="J7" s="1558"/>
      <c r="K7" s="1558"/>
      <c r="L7" s="2088"/>
      <c r="M7" s="2088"/>
      <c r="N7" s="1558"/>
      <c r="O7" s="1558"/>
      <c r="P7" s="1558"/>
      <c r="Q7" s="1558"/>
      <c r="R7" s="1558"/>
      <c r="S7" s="1558"/>
      <c r="T7" s="1558"/>
      <c r="U7" s="1558"/>
      <c r="V7" s="1558"/>
      <c r="W7" s="1558"/>
      <c r="X7" s="1558"/>
      <c r="Y7" s="1558"/>
      <c r="Z7" s="1558"/>
      <c r="AA7" s="1558"/>
      <c r="AB7" s="1558"/>
      <c r="AC7" s="1558"/>
    </row>
    <row r="8" spans="1:29" s="1557" customFormat="1" ht="17.25" customHeight="1">
      <c r="A8" s="2009" t="s">
        <v>281</v>
      </c>
      <c r="B8" s="2008"/>
      <c r="C8" s="2008"/>
      <c r="D8" s="2008"/>
      <c r="E8" s="2008"/>
      <c r="F8" s="2008"/>
      <c r="G8" s="2008"/>
      <c r="H8" s="2003"/>
      <c r="I8" s="2002"/>
      <c r="J8" s="1558"/>
      <c r="K8" s="1558"/>
      <c r="L8" s="2088"/>
      <c r="M8" s="2088"/>
      <c r="N8" s="1558"/>
      <c r="O8" s="1558"/>
      <c r="P8" s="1558"/>
      <c r="Q8" s="1558"/>
      <c r="R8" s="1558"/>
      <c r="S8" s="1558"/>
      <c r="T8" s="1558"/>
      <c r="U8" s="1558"/>
      <c r="V8" s="1558"/>
      <c r="W8" s="1558"/>
      <c r="X8" s="1558"/>
      <c r="Y8" s="1558"/>
      <c r="Z8" s="1558"/>
      <c r="AA8" s="1558"/>
      <c r="AB8" s="1558"/>
      <c r="AC8" s="1558"/>
    </row>
    <row r="9" spans="1:29" s="1557" customFormat="1" ht="6" customHeight="1">
      <c r="A9" s="2007"/>
      <c r="B9" s="2006"/>
      <c r="C9" s="1702"/>
      <c r="D9" s="2006"/>
      <c r="E9" s="2006"/>
      <c r="F9" s="2006"/>
      <c r="G9" s="2003"/>
      <c r="H9" s="2003"/>
      <c r="I9" s="2002"/>
      <c r="J9" s="1558"/>
      <c r="K9" s="1558"/>
      <c r="L9" s="2088"/>
      <c r="M9" s="2088"/>
      <c r="N9" s="1558"/>
      <c r="O9" s="1558"/>
      <c r="P9" s="1558"/>
      <c r="Q9" s="1558"/>
      <c r="R9" s="1558"/>
      <c r="S9" s="1558"/>
      <c r="T9" s="1558"/>
      <c r="U9" s="1558"/>
      <c r="V9" s="1558"/>
      <c r="W9" s="1558"/>
      <c r="X9" s="1558"/>
      <c r="Y9" s="1558"/>
      <c r="Z9" s="1558"/>
      <c r="AA9" s="1558"/>
      <c r="AB9" s="1558"/>
      <c r="AC9" s="1558"/>
    </row>
    <row r="10" spans="1:29" s="1557" customFormat="1" ht="15" customHeight="1">
      <c r="A10" s="3066" t="s">
        <v>1676</v>
      </c>
      <c r="B10" s="2898"/>
      <c r="C10" s="2898"/>
      <c r="D10" s="2898"/>
      <c r="E10" s="2898"/>
      <c r="F10" s="2898"/>
      <c r="G10" s="2898"/>
      <c r="H10" s="2898"/>
      <c r="I10" s="2899"/>
      <c r="J10" s="1558"/>
      <c r="K10" s="1558"/>
      <c r="L10" s="2088"/>
      <c r="M10" s="2088"/>
      <c r="N10" s="1558"/>
      <c r="O10" s="1558"/>
      <c r="P10" s="1558"/>
      <c r="Q10" s="1558"/>
      <c r="R10" s="1558"/>
      <c r="S10" s="1558"/>
      <c r="T10" s="1558"/>
      <c r="U10" s="1558"/>
      <c r="V10" s="1558"/>
      <c r="W10" s="1558"/>
      <c r="X10" s="1558"/>
      <c r="Y10" s="1558"/>
      <c r="Z10" s="1558"/>
      <c r="AA10" s="1558"/>
      <c r="AB10" s="1558"/>
      <c r="AC10" s="1558"/>
    </row>
    <row r="11" spans="1:29" s="1557" customFormat="1" ht="47.25" customHeight="1">
      <c r="A11" s="3132" t="s">
        <v>1677</v>
      </c>
      <c r="B11" s="3070"/>
      <c r="C11" s="3070"/>
      <c r="D11" s="3070"/>
      <c r="E11" s="3070"/>
      <c r="F11" s="3070"/>
      <c r="G11" s="3070"/>
      <c r="H11" s="2005"/>
      <c r="I11" s="2002"/>
      <c r="J11" s="1558"/>
      <c r="K11" s="1558"/>
      <c r="L11" s="2004"/>
      <c r="M11" s="2004"/>
      <c r="N11" s="2004"/>
      <c r="O11" s="2004"/>
      <c r="P11" s="2004"/>
      <c r="Q11" s="1558"/>
      <c r="R11" s="1558"/>
      <c r="S11" s="1558"/>
      <c r="T11" s="1558"/>
      <c r="U11" s="1558"/>
      <c r="V11" s="1558"/>
      <c r="W11" s="1558"/>
      <c r="X11" s="1558"/>
      <c r="Y11" s="1558"/>
      <c r="Z11" s="1558"/>
      <c r="AA11" s="1558"/>
      <c r="AB11" s="1558"/>
      <c r="AC11" s="1558"/>
    </row>
    <row r="12" spans="1:29" s="1557" customFormat="1" ht="32.25" customHeight="1">
      <c r="A12" s="3132" t="s">
        <v>1678</v>
      </c>
      <c r="B12" s="3070"/>
      <c r="C12" s="3070"/>
      <c r="D12" s="3070"/>
      <c r="E12" s="3070"/>
      <c r="F12" s="3070"/>
      <c r="G12" s="3070"/>
      <c r="H12" s="2003"/>
      <c r="I12" s="2002"/>
      <c r="J12" s="1558"/>
      <c r="K12" s="1558"/>
      <c r="L12" s="2088"/>
      <c r="M12" s="2088"/>
      <c r="N12" s="1558"/>
      <c r="O12" s="1558"/>
      <c r="P12" s="1558"/>
      <c r="Q12" s="1558"/>
      <c r="R12" s="1558"/>
      <c r="S12" s="1558"/>
      <c r="T12" s="1558"/>
      <c r="U12" s="1558"/>
      <c r="V12" s="1558"/>
      <c r="W12" s="1558"/>
      <c r="X12" s="1558"/>
      <c r="Y12" s="1558"/>
      <c r="Z12" s="1558"/>
      <c r="AA12" s="1558"/>
      <c r="AB12" s="1558"/>
      <c r="AC12" s="1558"/>
    </row>
    <row r="13" spans="1:29" s="1557" customFormat="1" ht="25.5" customHeight="1">
      <c r="A13" s="3132" t="s">
        <v>1679</v>
      </c>
      <c r="B13" s="3070"/>
      <c r="C13" s="3070"/>
      <c r="D13" s="3070"/>
      <c r="E13" s="3070"/>
      <c r="F13" s="3070"/>
      <c r="G13" s="3070"/>
      <c r="H13" s="2003"/>
      <c r="I13" s="2002"/>
      <c r="J13" s="1558"/>
      <c r="K13" s="1558"/>
      <c r="L13" s="2088"/>
      <c r="M13" s="2088"/>
      <c r="N13" s="1558"/>
      <c r="O13" s="1558"/>
      <c r="P13" s="1558"/>
      <c r="Q13" s="1558"/>
      <c r="R13" s="1558"/>
      <c r="S13" s="1558"/>
      <c r="T13" s="1558"/>
      <c r="U13" s="1558"/>
      <c r="V13" s="1558"/>
      <c r="W13" s="1558"/>
      <c r="X13" s="1558"/>
      <c r="Y13" s="1558"/>
      <c r="Z13" s="1558"/>
      <c r="AA13" s="1558"/>
      <c r="AB13" s="1558"/>
      <c r="AC13" s="1558"/>
    </row>
    <row r="14" spans="1:29" s="1996" customFormat="1" ht="39" customHeight="1" thickBot="1">
      <c r="A14" s="3073" t="s">
        <v>280</v>
      </c>
      <c r="B14" s="3074"/>
      <c r="C14" s="3074"/>
      <c r="D14" s="3074"/>
      <c r="E14" s="3074"/>
      <c r="F14" s="3074"/>
      <c r="G14" s="3074"/>
      <c r="H14" s="1999"/>
      <c r="I14" s="1998"/>
      <c r="J14" s="1558"/>
      <c r="K14" s="1558"/>
      <c r="L14" s="1558"/>
      <c r="M14" s="1558"/>
      <c r="N14" s="1558"/>
      <c r="O14" s="1558"/>
      <c r="P14" s="1558"/>
      <c r="Q14" s="1558"/>
      <c r="R14" s="1558"/>
      <c r="S14" s="1558"/>
      <c r="T14" s="1558"/>
      <c r="U14" s="1558"/>
      <c r="V14" s="1558"/>
      <c r="W14" s="1558"/>
      <c r="X14" s="1558"/>
      <c r="Y14" s="1558"/>
      <c r="Z14" s="1558"/>
      <c r="AA14" s="1558"/>
      <c r="AB14" s="1558"/>
      <c r="AC14" s="1558"/>
    </row>
    <row r="15" spans="1:29" s="1663" customFormat="1" ht="15.75" customHeight="1" thickBot="1">
      <c r="A15" s="2087"/>
      <c r="B15" s="2087"/>
      <c r="C15" s="2086"/>
      <c r="D15" s="2017"/>
      <c r="E15" s="2017"/>
      <c r="F15" s="2017"/>
      <c r="G15" s="1992"/>
      <c r="H15" s="1991"/>
      <c r="I15" s="2016"/>
      <c r="J15" s="2085"/>
      <c r="K15" s="1991"/>
      <c r="L15" s="2016"/>
      <c r="M15" s="2085"/>
      <c r="N15" s="1558"/>
      <c r="O15" s="1558"/>
      <c r="P15" s="1558"/>
      <c r="Q15" s="2016"/>
      <c r="R15" s="2016"/>
      <c r="S15" s="2016"/>
      <c r="T15" s="2016"/>
      <c r="U15" s="2016"/>
      <c r="V15" s="2016"/>
      <c r="W15" s="2016"/>
      <c r="X15" s="2016"/>
      <c r="Y15" s="2016"/>
      <c r="Z15" s="2016"/>
      <c r="AA15" s="2016"/>
      <c r="AB15" s="2016"/>
      <c r="AC15" s="2016"/>
    </row>
    <row r="16" spans="1:29" s="1720" customFormat="1" ht="20.25" customHeight="1">
      <c r="A16" s="1987" t="s">
        <v>279</v>
      </c>
      <c r="B16" s="2084"/>
      <c r="C16" s="2083"/>
      <c r="D16" s="2083"/>
      <c r="E16" s="1985"/>
      <c r="F16" s="2083"/>
      <c r="G16" s="2083"/>
      <c r="H16" s="2083"/>
      <c r="I16" s="1983"/>
      <c r="J16" s="1718"/>
      <c r="K16" s="1718"/>
      <c r="L16" s="1718"/>
      <c r="M16" s="1718"/>
      <c r="N16" s="1718"/>
      <c r="O16" s="1718"/>
      <c r="P16" s="1718"/>
      <c r="Q16" s="1718"/>
      <c r="R16" s="1718"/>
      <c r="S16" s="1718"/>
      <c r="T16" s="1718"/>
      <c r="U16" s="1718"/>
      <c r="V16" s="1718"/>
      <c r="W16" s="1718"/>
      <c r="X16" s="1718"/>
      <c r="Y16" s="1718"/>
      <c r="Z16" s="1718"/>
      <c r="AA16" s="1718"/>
      <c r="AB16" s="1718"/>
      <c r="AC16" s="1718"/>
    </row>
    <row r="17" spans="1:29" s="1720" customFormat="1" ht="27" customHeight="1" thickBot="1">
      <c r="A17" s="1982" t="s">
        <v>278</v>
      </c>
      <c r="B17" s="1906"/>
      <c r="C17" s="1708"/>
      <c r="D17" s="1708"/>
      <c r="E17" s="1708"/>
      <c r="F17" s="1708"/>
      <c r="G17" s="1708"/>
      <c r="H17" s="1708"/>
      <c r="I17" s="1707"/>
      <c r="J17" s="1718"/>
      <c r="K17" s="1718"/>
      <c r="L17" s="1718"/>
      <c r="M17" s="1718"/>
      <c r="N17" s="1718"/>
      <c r="O17" s="1718"/>
      <c r="P17" s="1718"/>
      <c r="Q17" s="1718"/>
      <c r="R17" s="1718"/>
      <c r="S17" s="1718"/>
      <c r="T17" s="1718"/>
      <c r="U17" s="1718"/>
      <c r="V17" s="1718"/>
      <c r="W17" s="1718"/>
      <c r="X17" s="1718"/>
      <c r="Y17" s="1718"/>
      <c r="Z17" s="1718"/>
      <c r="AA17" s="1718"/>
      <c r="AB17" s="1718"/>
      <c r="AC17" s="1718"/>
    </row>
    <row r="18" spans="1:29" s="1720" customFormat="1" ht="15.75" customHeight="1" thickBot="1">
      <c r="A18" s="1841" t="s">
        <v>277</v>
      </c>
      <c r="B18" s="1702"/>
      <c r="C18" s="1927"/>
      <c r="D18" s="1980"/>
      <c r="E18" s="1980"/>
      <c r="F18" s="1980"/>
      <c r="G18" s="1981"/>
      <c r="H18" s="1980"/>
      <c r="I18" s="1704"/>
      <c r="J18" s="1718"/>
      <c r="K18" s="1979" t="s">
        <v>276</v>
      </c>
      <c r="L18" s="1978"/>
      <c r="M18" s="1978"/>
      <c r="N18" s="1978"/>
      <c r="O18" s="1978"/>
      <c r="P18" s="1978"/>
      <c r="Q18" s="1978"/>
      <c r="R18" s="1978"/>
      <c r="S18" s="1977" t="s">
        <v>312</v>
      </c>
      <c r="T18" s="1977" t="s">
        <v>309</v>
      </c>
      <c r="U18" s="1977" t="s">
        <v>308</v>
      </c>
      <c r="V18" s="1976" t="s">
        <v>307</v>
      </c>
      <c r="W18" s="1718"/>
      <c r="X18" s="1718"/>
      <c r="Y18" s="1718"/>
      <c r="Z18" s="1718"/>
      <c r="AA18" s="1718"/>
      <c r="AB18" s="1718"/>
      <c r="AC18" s="1718"/>
    </row>
    <row r="19" spans="1:29" s="1965" customFormat="1" ht="63.75" customHeight="1" thickBot="1">
      <c r="A19" s="1975"/>
      <c r="B19" s="1974" t="s">
        <v>275</v>
      </c>
      <c r="C19" s="1937" t="s">
        <v>681</v>
      </c>
      <c r="D19" s="1973"/>
      <c r="E19" s="1947"/>
      <c r="F19" s="3067" t="s">
        <v>1658</v>
      </c>
      <c r="G19" s="3068"/>
      <c r="H19" s="1947"/>
      <c r="I19" s="1972"/>
      <c r="J19" s="1971"/>
      <c r="K19" s="1970" t="s">
        <v>681</v>
      </c>
      <c r="L19" s="1969" t="s">
        <v>667</v>
      </c>
      <c r="M19" s="1969" t="s">
        <v>610</v>
      </c>
      <c r="N19" s="2674" t="s">
        <v>1551</v>
      </c>
      <c r="O19" s="1969" t="s">
        <v>319</v>
      </c>
      <c r="P19" s="1969" t="s">
        <v>274</v>
      </c>
      <c r="Q19" s="1969" t="s">
        <v>317</v>
      </c>
      <c r="R19" s="1969" t="s">
        <v>316</v>
      </c>
      <c r="S19" s="1968"/>
      <c r="T19" s="1968"/>
      <c r="U19" s="1968"/>
      <c r="V19" s="1967"/>
      <c r="W19" s="1966"/>
      <c r="X19" s="1966"/>
      <c r="Y19" s="1966"/>
      <c r="Z19" s="1966"/>
      <c r="AA19" s="1966"/>
      <c r="AB19" s="1966"/>
      <c r="AC19" s="1966"/>
    </row>
    <row r="20" spans="1:29" s="1658" customFormat="1" ht="16.5" thickBot="1">
      <c r="A20" s="1926"/>
      <c r="B20" s="1925" t="s">
        <v>1546</v>
      </c>
      <c r="C20" s="1964">
        <v>3067.3</v>
      </c>
      <c r="D20" s="1923" t="s">
        <v>273</v>
      </c>
      <c r="E20" s="1956"/>
      <c r="F20" s="1963" t="s">
        <v>1547</v>
      </c>
      <c r="G20" s="1962" t="s">
        <v>1257</v>
      </c>
      <c r="H20" s="1947"/>
      <c r="I20" s="1955"/>
      <c r="J20" s="1954"/>
      <c r="K20" s="1961"/>
      <c r="L20" s="1960"/>
      <c r="M20" s="1960"/>
      <c r="N20" s="1960"/>
      <c r="O20" s="1960"/>
      <c r="P20" s="1960"/>
      <c r="Q20" s="1960"/>
      <c r="R20" s="1960"/>
      <c r="S20" s="1960"/>
      <c r="T20" s="1960"/>
      <c r="U20" s="1960"/>
      <c r="V20" s="1959"/>
      <c r="W20" s="1689"/>
      <c r="X20" s="1689"/>
      <c r="Y20" s="1689"/>
      <c r="Z20" s="1689"/>
      <c r="AA20" s="1689"/>
      <c r="AB20" s="1689"/>
      <c r="AC20" s="1689"/>
    </row>
    <row r="21" spans="1:29" s="1658" customFormat="1">
      <c r="A21" s="1926"/>
      <c r="B21" s="1925" t="s">
        <v>272</v>
      </c>
      <c r="C21" s="1958"/>
      <c r="D21" s="1957"/>
      <c r="E21" s="1956"/>
      <c r="F21" s="1952" t="s">
        <v>1548</v>
      </c>
      <c r="G21" s="1951" t="s">
        <v>1258</v>
      </c>
      <c r="H21" s="1947"/>
      <c r="I21" s="1955"/>
      <c r="J21" s="1954"/>
      <c r="K21" s="1954"/>
      <c r="L21" s="1689"/>
      <c r="M21" s="1689"/>
      <c r="N21" s="1689"/>
      <c r="O21" s="1689"/>
      <c r="P21" s="1689"/>
      <c r="Q21" s="1689"/>
      <c r="R21" s="1689"/>
      <c r="S21" s="1689"/>
      <c r="T21" s="1689"/>
      <c r="U21" s="1689"/>
      <c r="V21" s="1689"/>
      <c r="W21" s="1689"/>
      <c r="X21" s="1689"/>
      <c r="Y21" s="1689"/>
      <c r="Z21" s="1689"/>
      <c r="AA21" s="1689"/>
      <c r="AB21" s="1689"/>
      <c r="AC21" s="1689"/>
    </row>
    <row r="22" spans="1:29" s="1658" customFormat="1" ht="15.75">
      <c r="A22" s="1926"/>
      <c r="B22" s="1925" t="s">
        <v>1549</v>
      </c>
      <c r="C22" s="1953">
        <f>C20*(1-C21)</f>
        <v>3067.3</v>
      </c>
      <c r="D22" s="1923" t="s">
        <v>271</v>
      </c>
      <c r="E22" s="1702"/>
      <c r="F22" s="1952" t="s">
        <v>270</v>
      </c>
      <c r="G22" s="1951" t="s">
        <v>1259</v>
      </c>
      <c r="H22" s="1947"/>
      <c r="I22" s="1840"/>
      <c r="J22" s="1689"/>
      <c r="K22" s="1689"/>
      <c r="L22" s="1689"/>
      <c r="M22" s="1689"/>
      <c r="N22" s="1689"/>
      <c r="O22" s="1689"/>
      <c r="P22" s="1689"/>
      <c r="Q22" s="1689"/>
      <c r="R22" s="1689"/>
      <c r="S22" s="1689"/>
      <c r="T22" s="1689"/>
      <c r="U22" s="1689"/>
      <c r="V22" s="1689"/>
      <c r="W22" s="1689"/>
      <c r="X22" s="1689"/>
      <c r="Y22" s="1689"/>
      <c r="Z22" s="1689"/>
      <c r="AA22" s="1689"/>
      <c r="AB22" s="1689"/>
      <c r="AC22" s="1689"/>
    </row>
    <row r="23" spans="1:29" s="1658" customFormat="1" ht="16.5" thickBot="1">
      <c r="A23" s="1926"/>
      <c r="B23" s="1925" t="str">
        <f>IF(C19&lt;&gt;"Palm","Врожай соломи (вилучений з поля)",B25)</f>
        <v>Врожай соломи (вилучений з поля)</v>
      </c>
      <c r="C23" s="1937"/>
      <c r="D23" s="1923" t="str">
        <f>IF(C19&lt;&gt;"Пальма","кг dm/гa/рік","")</f>
        <v>кг dm/гa/рік</v>
      </c>
      <c r="E23" s="1702"/>
      <c r="F23" s="1950" t="s">
        <v>269</v>
      </c>
      <c r="G23" s="1949" t="s">
        <v>268</v>
      </c>
      <c r="H23" s="1947"/>
      <c r="I23" s="1840"/>
      <c r="J23" s="1689"/>
      <c r="K23" s="1689"/>
      <c r="L23" s="1689"/>
      <c r="M23" s="1689"/>
      <c r="N23" s="1689"/>
      <c r="O23" s="1689"/>
      <c r="P23" s="1689"/>
      <c r="Q23" s="1689"/>
      <c r="R23" s="1689"/>
      <c r="S23" s="1689"/>
      <c r="T23" s="1689"/>
      <c r="U23" s="1689"/>
      <c r="V23" s="1689"/>
      <c r="W23" s="1689"/>
      <c r="X23" s="1689"/>
      <c r="Y23" s="1689"/>
      <c r="Z23" s="1689"/>
      <c r="AA23" s="1689"/>
      <c r="AB23" s="1689"/>
      <c r="AC23" s="1689"/>
    </row>
    <row r="24" spans="1:29" s="1912" customFormat="1">
      <c r="A24" s="1926"/>
      <c r="B24" s="1925"/>
      <c r="C24" s="1762"/>
      <c r="D24" s="1923"/>
      <c r="E24" s="1922"/>
      <c r="F24" s="1922"/>
      <c r="G24" s="1948"/>
      <c r="H24" s="1947"/>
      <c r="I24" s="1921"/>
      <c r="J24" s="1913"/>
      <c r="K24" s="1913"/>
      <c r="L24" s="1913"/>
      <c r="M24" s="1913"/>
      <c r="N24" s="1913"/>
      <c r="O24" s="1913"/>
      <c r="P24" s="1913"/>
      <c r="Q24" s="1913"/>
      <c r="R24" s="1913"/>
      <c r="S24" s="1913"/>
      <c r="T24" s="1913"/>
      <c r="U24" s="1913"/>
      <c r="V24" s="1913"/>
      <c r="W24" s="1913"/>
      <c r="X24" s="1913"/>
      <c r="Y24" s="1913"/>
      <c r="Z24" s="1913"/>
      <c r="AA24" s="1913"/>
      <c r="AB24" s="1913"/>
      <c r="AC24" s="1913"/>
    </row>
    <row r="25" spans="1:29" s="1658" customFormat="1" ht="40.5" customHeight="1">
      <c r="A25" s="1946"/>
      <c r="B25" s="2682" t="s">
        <v>1657</v>
      </c>
      <c r="C25" s="1937" t="s">
        <v>747</v>
      </c>
      <c r="D25" s="1922"/>
      <c r="E25" s="3103" t="s">
        <v>1680</v>
      </c>
      <c r="F25" s="3103"/>
      <c r="G25" s="3103"/>
      <c r="H25" s="3103"/>
      <c r="I25" s="3104"/>
      <c r="J25" s="1689"/>
      <c r="K25" s="1718" t="s">
        <v>1181</v>
      </c>
      <c r="L25" s="1718" t="s">
        <v>747</v>
      </c>
      <c r="M25" s="1718" t="s">
        <v>748</v>
      </c>
      <c r="N25" s="1689"/>
      <c r="O25" s="1689"/>
      <c r="P25" s="1689"/>
      <c r="Q25" s="1689"/>
      <c r="R25" s="1689"/>
      <c r="S25" s="1689"/>
      <c r="T25" s="1689"/>
      <c r="U25" s="1689"/>
      <c r="V25" s="1689"/>
      <c r="W25" s="1689"/>
      <c r="X25" s="1689"/>
      <c r="Y25" s="1689"/>
      <c r="Z25" s="1689"/>
      <c r="AA25" s="1689"/>
      <c r="AB25" s="1689"/>
      <c r="AC25" s="1689"/>
    </row>
    <row r="26" spans="1:29" s="1658" customFormat="1" ht="18.75" customHeight="1">
      <c r="A26" s="1940"/>
      <c r="B26" s="1945"/>
      <c r="C26" s="1702"/>
      <c r="D26" s="1702"/>
      <c r="E26" s="1944" t="s">
        <v>1681</v>
      </c>
      <c r="F26" s="1702"/>
      <c r="G26" s="1702"/>
      <c r="H26" s="1702"/>
      <c r="I26" s="1921"/>
      <c r="J26" s="1689"/>
      <c r="K26" s="1689"/>
      <c r="L26" s="1689"/>
      <c r="M26" s="1689"/>
      <c r="N26" s="1689"/>
      <c r="O26" s="1689"/>
      <c r="P26" s="1689"/>
      <c r="Q26" s="1689"/>
      <c r="R26" s="1689"/>
      <c r="S26" s="1689"/>
      <c r="T26" s="1689"/>
      <c r="U26" s="1689"/>
      <c r="V26" s="1689"/>
      <c r="W26" s="1689"/>
      <c r="X26" s="1689"/>
      <c r="Y26" s="1689"/>
      <c r="Z26" s="1689"/>
      <c r="AA26" s="1689"/>
      <c r="AB26" s="1689"/>
      <c r="AC26" s="1689"/>
    </row>
    <row r="27" spans="1:29" s="1658" customFormat="1" ht="18.75" customHeight="1">
      <c r="A27" s="1934" t="s">
        <v>1682</v>
      </c>
      <c r="B27" s="1943"/>
      <c r="C27" s="1906"/>
      <c r="D27" s="1906"/>
      <c r="E27" s="1942"/>
      <c r="F27" s="1906"/>
      <c r="G27" s="1906"/>
      <c r="H27" s="1906"/>
      <c r="I27" s="1941"/>
      <c r="J27" s="1689"/>
      <c r="K27" s="1689"/>
      <c r="L27" s="1689"/>
      <c r="M27" s="1689"/>
      <c r="N27" s="1689"/>
      <c r="O27" s="1689"/>
      <c r="P27" s="1689"/>
      <c r="Q27" s="1689"/>
      <c r="R27" s="1689"/>
      <c r="S27" s="1689"/>
      <c r="T27" s="1689"/>
      <c r="U27" s="1689"/>
      <c r="V27" s="1689"/>
      <c r="W27" s="1689"/>
      <c r="X27" s="1689"/>
      <c r="Y27" s="1689"/>
      <c r="Z27" s="1689"/>
      <c r="AA27" s="1689"/>
      <c r="AB27" s="1689"/>
      <c r="AC27" s="1689"/>
    </row>
    <row r="28" spans="1:29" s="1658" customFormat="1" ht="18.75" customHeight="1">
      <c r="A28" s="1940"/>
      <c r="B28" s="1925" t="s">
        <v>339</v>
      </c>
      <c r="C28" s="1939" t="s">
        <v>1202</v>
      </c>
      <c r="D28" s="1702"/>
      <c r="E28" s="3045" t="s">
        <v>338</v>
      </c>
      <c r="F28" s="3045"/>
      <c r="G28" s="3045"/>
      <c r="H28" s="3045"/>
      <c r="I28" s="3105"/>
      <c r="J28" s="1938" t="s">
        <v>1202</v>
      </c>
      <c r="K28" s="1718" t="s">
        <v>1305</v>
      </c>
      <c r="L28" s="1718" t="s">
        <v>1304</v>
      </c>
      <c r="M28" s="1718" t="s">
        <v>1306</v>
      </c>
      <c r="N28" s="1718" t="s">
        <v>1308</v>
      </c>
      <c r="O28" s="1718" t="s">
        <v>1309</v>
      </c>
      <c r="P28" s="1689"/>
      <c r="Q28" s="1689"/>
      <c r="R28" s="1689"/>
      <c r="S28" s="1689"/>
      <c r="T28" s="1689"/>
      <c r="U28" s="1689"/>
      <c r="V28" s="1689"/>
      <c r="W28" s="1689"/>
      <c r="X28" s="1689"/>
      <c r="Y28" s="1689"/>
      <c r="Z28" s="1689"/>
      <c r="AA28" s="1689"/>
      <c r="AB28" s="1689"/>
      <c r="AC28" s="1689"/>
    </row>
    <row r="29" spans="1:29" s="1658" customFormat="1">
      <c r="A29" s="1926"/>
      <c r="B29" s="2682" t="s">
        <v>1683</v>
      </c>
      <c r="C29" s="1937">
        <v>0</v>
      </c>
      <c r="D29" s="1923" t="s">
        <v>337</v>
      </c>
      <c r="E29" s="3106" t="s">
        <v>1660</v>
      </c>
      <c r="F29" s="3106"/>
      <c r="G29" s="3106"/>
      <c r="H29" s="3106"/>
      <c r="I29" s="3107"/>
      <c r="J29" s="1689"/>
      <c r="K29" s="1689"/>
      <c r="L29" s="1689"/>
      <c r="M29" s="1689"/>
      <c r="N29" s="1689"/>
      <c r="O29" s="1689"/>
      <c r="P29" s="1689"/>
      <c r="Q29" s="1689"/>
      <c r="R29" s="1689"/>
      <c r="S29" s="1689"/>
      <c r="T29" s="1689"/>
      <c r="U29" s="1689"/>
      <c r="V29" s="1689"/>
      <c r="W29" s="1689"/>
      <c r="X29" s="1689"/>
      <c r="Y29" s="1689"/>
      <c r="Z29" s="1689"/>
      <c r="AA29" s="1689"/>
      <c r="AB29" s="1689"/>
      <c r="AC29" s="1689"/>
    </row>
    <row r="30" spans="1:29" s="1658" customFormat="1" ht="23.25" customHeight="1">
      <c r="A30" s="1936"/>
      <c r="B30" s="1935"/>
      <c r="C30" s="1822"/>
      <c r="D30" s="1822"/>
      <c r="E30" s="3108" t="s">
        <v>1663</v>
      </c>
      <c r="F30" s="3108"/>
      <c r="G30" s="3108"/>
      <c r="H30" s="3108"/>
      <c r="I30" s="3109"/>
      <c r="J30" s="1689"/>
      <c r="K30" s="1689"/>
      <c r="L30" s="1689"/>
      <c r="M30" s="1689"/>
      <c r="N30" s="1689"/>
      <c r="O30" s="1689"/>
      <c r="P30" s="1689"/>
      <c r="Q30" s="1689"/>
      <c r="R30" s="1689"/>
      <c r="S30" s="1689"/>
      <c r="T30" s="1689"/>
      <c r="U30" s="1689"/>
      <c r="V30" s="1689"/>
      <c r="W30" s="1689"/>
      <c r="X30" s="1689"/>
      <c r="Y30" s="1689"/>
      <c r="Z30" s="1689"/>
      <c r="AA30" s="1689"/>
      <c r="AB30" s="1689"/>
      <c r="AC30" s="1689"/>
    </row>
    <row r="31" spans="1:29" s="1658" customFormat="1" ht="23.25" customHeight="1">
      <c r="A31" s="1934" t="s">
        <v>336</v>
      </c>
      <c r="B31" s="1933"/>
      <c r="C31" s="1932" t="s">
        <v>335</v>
      </c>
      <c r="D31" s="1931"/>
      <c r="E31" s="1906"/>
      <c r="F31" s="1906"/>
      <c r="G31" s="1906"/>
      <c r="H31" s="2675" t="s">
        <v>1664</v>
      </c>
      <c r="I31" s="1905"/>
      <c r="J31" s="1689"/>
      <c r="K31" s="1689"/>
      <c r="L31" s="1689"/>
      <c r="M31" s="1689"/>
      <c r="N31" s="1689"/>
      <c r="O31" s="1689"/>
      <c r="P31" s="1689"/>
      <c r="Q31" s="1689"/>
      <c r="R31" s="1689"/>
      <c r="S31" s="1689"/>
      <c r="T31" s="1689"/>
      <c r="U31" s="1689"/>
      <c r="V31" s="1689"/>
      <c r="W31" s="1689"/>
      <c r="X31" s="1689"/>
      <c r="Y31" s="1689"/>
      <c r="Z31" s="1689"/>
      <c r="AA31" s="1689"/>
      <c r="AB31" s="1689"/>
      <c r="AC31" s="1689"/>
    </row>
    <row r="32" spans="1:29" s="1658" customFormat="1" ht="13.5" customHeight="1">
      <c r="A32" s="1930"/>
      <c r="B32" s="1925"/>
      <c r="C32" s="2898" t="s">
        <v>334</v>
      </c>
      <c r="D32" s="2898"/>
      <c r="E32" s="2898"/>
      <c r="F32" s="2898"/>
      <c r="G32" s="2898"/>
      <c r="H32" s="2898"/>
      <c r="I32" s="2899"/>
      <c r="J32" s="1689"/>
      <c r="K32" s="1689"/>
      <c r="L32" s="1689"/>
      <c r="M32" s="1689"/>
      <c r="N32" s="1689"/>
      <c r="O32" s="1689"/>
      <c r="P32" s="1689"/>
      <c r="Q32" s="1689"/>
      <c r="R32" s="1689"/>
      <c r="S32" s="1689"/>
      <c r="T32" s="1689"/>
      <c r="U32" s="1689"/>
      <c r="V32" s="1689"/>
      <c r="W32" s="1689"/>
      <c r="X32" s="1689"/>
      <c r="Y32" s="1689"/>
      <c r="Z32" s="1689"/>
      <c r="AA32" s="1689"/>
      <c r="AB32" s="1689"/>
      <c r="AC32" s="1689"/>
    </row>
    <row r="33" spans="1:33" s="1658" customFormat="1" ht="13.5" customHeight="1">
      <c r="A33" s="1929" t="str">
        <f>IF(C19="Palm", "If palm :", "")</f>
        <v/>
      </c>
      <c r="B33" s="1925"/>
      <c r="C33" s="1927"/>
      <c r="D33" s="1923"/>
      <c r="E33" s="1702"/>
      <c r="F33" s="1702"/>
      <c r="G33" s="1702"/>
      <c r="H33" s="1762"/>
      <c r="I33" s="1840"/>
      <c r="J33" s="1689"/>
      <c r="K33" s="1689"/>
      <c r="L33" s="1689"/>
      <c r="M33" s="1689"/>
      <c r="N33" s="1689"/>
      <c r="O33" s="1689"/>
      <c r="P33" s="1689"/>
      <c r="Q33" s="1689"/>
      <c r="R33" s="1689"/>
      <c r="S33" s="1689"/>
      <c r="T33" s="1689"/>
      <c r="U33" s="1689"/>
      <c r="V33" s="1689"/>
      <c r="W33" s="1689"/>
      <c r="X33" s="1689"/>
      <c r="Y33" s="1689"/>
      <c r="Z33" s="1689"/>
      <c r="AA33" s="1689"/>
      <c r="AB33" s="1689"/>
      <c r="AC33" s="1689"/>
    </row>
    <row r="34" spans="1:33" s="1912" customFormat="1" ht="15.75" customHeight="1">
      <c r="A34" s="1928"/>
      <c r="B34" s="1925" t="str">
        <f>IF(C19="Palm", "Amount of crop residue returned to the field:", "")</f>
        <v/>
      </c>
      <c r="C34" s="1924"/>
      <c r="D34" s="1923" t="str">
        <f>IF(C19="Palm","kg dm/kg wet FFB","")</f>
        <v/>
      </c>
      <c r="E34" s="1922"/>
      <c r="F34" s="1922"/>
      <c r="G34" s="1922"/>
      <c r="H34" s="1762" t="str">
        <f>IF(C19="palm", "RED used by default 0.22","")</f>
        <v/>
      </c>
      <c r="I34" s="1921"/>
      <c r="J34" s="1913"/>
      <c r="K34" s="1913"/>
      <c r="L34" s="1913"/>
      <c r="M34" s="1913"/>
      <c r="N34" s="1913"/>
      <c r="O34" s="1913"/>
      <c r="P34" s="1913"/>
      <c r="Q34" s="1913"/>
      <c r="R34" s="1913"/>
      <c r="S34" s="1913"/>
      <c r="T34" s="1913"/>
      <c r="U34" s="1913"/>
      <c r="V34" s="1913"/>
      <c r="W34" s="1913"/>
      <c r="X34" s="1913"/>
      <c r="Y34" s="1913"/>
      <c r="Z34" s="1913"/>
      <c r="AA34" s="1913"/>
      <c r="AB34" s="1913"/>
      <c r="AC34" s="1913"/>
    </row>
    <row r="35" spans="1:33" s="1912" customFormat="1" ht="15.75" customHeight="1">
      <c r="A35" s="1785" t="str">
        <f>IF(C19="sugar cane","If sugar cane :","")</f>
        <v/>
      </c>
      <c r="B35" s="1925"/>
      <c r="C35" s="1762"/>
      <c r="D35" s="1923"/>
      <c r="E35" s="1922"/>
      <c r="F35" s="1922"/>
      <c r="G35" s="1922"/>
      <c r="H35" s="1922"/>
      <c r="I35" s="1921"/>
      <c r="J35" s="1913"/>
      <c r="K35" s="1913"/>
      <c r="L35" s="1913"/>
      <c r="M35" s="1913"/>
      <c r="N35" s="1913"/>
      <c r="O35" s="1913"/>
      <c r="P35" s="1913"/>
      <c r="Q35" s="1913"/>
      <c r="R35" s="1913"/>
      <c r="S35" s="1913"/>
      <c r="T35" s="1913"/>
      <c r="U35" s="1913"/>
      <c r="V35" s="1913"/>
      <c r="W35" s="1913"/>
      <c r="X35" s="1913"/>
      <c r="Y35" s="1913"/>
      <c r="Z35" s="1913"/>
      <c r="AA35" s="1913"/>
      <c r="AB35" s="1913"/>
      <c r="AC35" s="1913"/>
    </row>
    <row r="36" spans="1:33" s="1912" customFormat="1">
      <c r="A36" s="1928"/>
      <c r="B36" s="1925" t="str">
        <f>IF(C19="sugar cane","Amount of vignasse applied to the field :","")</f>
        <v/>
      </c>
      <c r="C36" s="1924"/>
      <c r="D36" s="1923" t="str">
        <f>IF(C19="sugar cane","kg of vignasse dm/kg sucar cane fm","")</f>
        <v/>
      </c>
      <c r="E36" s="1922"/>
      <c r="F36" s="1922"/>
      <c r="G36" s="1927"/>
      <c r="H36" s="1762" t="str">
        <f>IF(C19="sugar cane", "RED used by default 0.94","")</f>
        <v/>
      </c>
      <c r="I36" s="1921"/>
      <c r="J36" s="1913"/>
      <c r="K36" s="1913"/>
      <c r="L36" s="1913"/>
      <c r="M36" s="1913"/>
      <c r="N36" s="1913"/>
      <c r="O36" s="1913"/>
      <c r="P36" s="1913"/>
      <c r="Q36" s="1913"/>
      <c r="R36" s="1913"/>
      <c r="S36" s="1913"/>
      <c r="T36" s="1913"/>
      <c r="U36" s="1913"/>
      <c r="V36" s="1913"/>
      <c r="W36" s="1913"/>
      <c r="X36" s="1913"/>
      <c r="Y36" s="1913"/>
      <c r="Z36" s="1913"/>
      <c r="AA36" s="1913"/>
      <c r="AB36" s="1913"/>
      <c r="AC36" s="1913"/>
    </row>
    <row r="37" spans="1:33" s="1912" customFormat="1">
      <c r="A37" s="1926"/>
      <c r="B37" s="1925" t="str">
        <f>IF(C19="sugar cane","Amount of filter cake applied to the field:","")</f>
        <v/>
      </c>
      <c r="C37" s="1924"/>
      <c r="D37" s="1923" t="str">
        <f>IF(C19="sugar cane","kg of filter cake dm/kg sugar cane fm","")</f>
        <v/>
      </c>
      <c r="E37" s="1922"/>
      <c r="F37" s="1922"/>
      <c r="G37" s="1922"/>
      <c r="H37" s="1762" t="str">
        <f>IF(C19="sugar cane", "RED used by default 0.01","")</f>
        <v/>
      </c>
      <c r="I37" s="1921"/>
      <c r="J37" s="1913"/>
      <c r="K37" s="1913"/>
      <c r="L37" s="1913"/>
      <c r="M37" s="1913"/>
      <c r="N37" s="1913"/>
      <c r="O37" s="1913"/>
      <c r="P37" s="1913"/>
      <c r="Q37" s="1913"/>
      <c r="R37" s="1913"/>
      <c r="S37" s="1913"/>
      <c r="T37" s="1913"/>
      <c r="U37" s="1913"/>
      <c r="V37" s="1913"/>
      <c r="W37" s="1913"/>
      <c r="X37" s="1913"/>
      <c r="Y37" s="1913"/>
      <c r="Z37" s="1913"/>
      <c r="AA37" s="1913"/>
      <c r="AB37" s="1913"/>
      <c r="AC37" s="1913"/>
    </row>
    <row r="38" spans="1:33" s="1912" customFormat="1">
      <c r="A38" s="1926"/>
      <c r="B38" s="1925" t="str">
        <f>IF(C19="sugar cane","N content of vignasse applied to the field:","")</f>
        <v/>
      </c>
      <c r="C38" s="1924"/>
      <c r="D38" s="1923" t="str">
        <f>IF(C19="sugar cane","kg N / t vignasse","")</f>
        <v/>
      </c>
      <c r="E38" s="1922"/>
      <c r="F38" s="1922"/>
      <c r="G38" s="1922"/>
      <c r="H38" s="1762" t="str">
        <f>IF(C19="sugar cane", "RED used by default 0.36","")</f>
        <v/>
      </c>
      <c r="I38" s="1921"/>
      <c r="J38" s="1913"/>
      <c r="K38" s="1913"/>
      <c r="L38" s="1913"/>
      <c r="M38" s="1913"/>
      <c r="N38" s="1913"/>
      <c r="O38" s="1913"/>
      <c r="P38" s="1913"/>
      <c r="Q38" s="1913"/>
      <c r="R38" s="1913"/>
      <c r="S38" s="1913"/>
      <c r="T38" s="1913"/>
      <c r="U38" s="1913"/>
      <c r="V38" s="1913"/>
      <c r="W38" s="1913"/>
      <c r="X38" s="1913"/>
      <c r="Y38" s="1913"/>
      <c r="Z38" s="1913"/>
      <c r="AA38" s="1913"/>
      <c r="AB38" s="1913"/>
      <c r="AC38" s="1913"/>
    </row>
    <row r="39" spans="1:33" s="1912" customFormat="1">
      <c r="A39" s="1926"/>
      <c r="B39" s="1925" t="str">
        <f>IF(C19="sugar cane","N content of filter cake applied to the field:","")</f>
        <v/>
      </c>
      <c r="C39" s="2082"/>
      <c r="D39" s="1923" t="str">
        <f>IF(C19="sugar cane","kg N / t filter cake","")</f>
        <v/>
      </c>
      <c r="E39" s="1922"/>
      <c r="F39" s="1922"/>
      <c r="G39" s="1922"/>
      <c r="H39" s="1762" t="str">
        <f>IF(C19="sugar cane", "RED used by default 12.5","")</f>
        <v/>
      </c>
      <c r="I39" s="1921"/>
      <c r="J39" s="1913"/>
      <c r="K39" s="1913"/>
      <c r="L39" s="1913"/>
      <c r="M39" s="1913"/>
      <c r="N39" s="1913"/>
      <c r="O39" s="1913"/>
      <c r="P39" s="1913"/>
      <c r="Q39" s="1913"/>
      <c r="R39" s="1913"/>
      <c r="S39" s="1913"/>
      <c r="T39" s="1913"/>
      <c r="U39" s="1913"/>
      <c r="V39" s="1913"/>
      <c r="W39" s="1913"/>
      <c r="X39" s="1913"/>
      <c r="Y39" s="1913"/>
      <c r="Z39" s="1913"/>
      <c r="AA39" s="1913"/>
      <c r="AB39" s="1913"/>
      <c r="AC39" s="1913"/>
    </row>
    <row r="40" spans="1:33" s="1658" customFormat="1" ht="13.5" thickBot="1">
      <c r="A40" s="1920"/>
      <c r="B40" s="1919"/>
      <c r="C40" s="1915"/>
      <c r="D40" s="1917"/>
      <c r="E40" s="1672"/>
      <c r="F40" s="1672"/>
      <c r="G40" s="1672"/>
      <c r="H40" s="1672"/>
      <c r="I40" s="1671"/>
      <c r="J40" s="1689"/>
      <c r="K40" s="1689"/>
      <c r="L40" s="1689"/>
      <c r="M40" s="1689"/>
      <c r="N40" s="1689"/>
      <c r="O40" s="1689"/>
      <c r="P40" s="1689"/>
      <c r="Q40" s="1689"/>
      <c r="R40" s="1689"/>
      <c r="S40" s="1689"/>
      <c r="T40" s="1689"/>
      <c r="U40" s="1689"/>
      <c r="V40" s="1689"/>
      <c r="W40" s="1689"/>
      <c r="X40" s="1689"/>
      <c r="Y40" s="1689"/>
      <c r="Z40" s="1689"/>
      <c r="AA40" s="1689"/>
      <c r="AB40" s="1689"/>
      <c r="AC40" s="1689"/>
    </row>
    <row r="41" spans="1:33" s="1658" customFormat="1" ht="15.75" customHeight="1" thickBot="1">
      <c r="A41" s="1908"/>
      <c r="B41" s="1908"/>
      <c r="C41" s="1859"/>
      <c r="D41" s="1689"/>
      <c r="E41" s="1689"/>
      <c r="F41" s="1689"/>
      <c r="G41" s="1689"/>
      <c r="H41" s="1689"/>
      <c r="I41" s="1689"/>
      <c r="J41" s="1689"/>
      <c r="K41" s="1689"/>
      <c r="L41" s="1689"/>
      <c r="M41" s="1689"/>
      <c r="N41" s="1689"/>
      <c r="O41" s="1689"/>
      <c r="P41" s="1689"/>
      <c r="Q41" s="1689"/>
      <c r="R41" s="1689"/>
      <c r="S41" s="1689"/>
      <c r="T41" s="1689"/>
      <c r="U41" s="1689"/>
      <c r="V41" s="1689"/>
      <c r="W41" s="1689"/>
      <c r="X41" s="1689"/>
      <c r="Y41" s="1689"/>
      <c r="Z41" s="1689"/>
      <c r="AA41" s="1689"/>
      <c r="AB41" s="1689"/>
      <c r="AC41" s="1689"/>
    </row>
    <row r="42" spans="1:33" s="1720" customFormat="1" ht="15" customHeight="1" thickBot="1">
      <c r="A42" s="1819" t="s">
        <v>1684</v>
      </c>
      <c r="B42" s="3056" t="s">
        <v>1666</v>
      </c>
      <c r="C42" s="3056"/>
      <c r="D42" s="3056"/>
      <c r="E42" s="3056"/>
      <c r="F42" s="3056"/>
      <c r="G42" s="3056"/>
      <c r="H42" s="3056"/>
      <c r="I42" s="3057"/>
      <c r="J42" s="1718"/>
      <c r="K42" s="1718"/>
      <c r="L42" s="1718"/>
      <c r="M42" s="1718"/>
      <c r="N42" s="1718"/>
      <c r="O42" s="1718"/>
      <c r="P42" s="1718"/>
      <c r="Q42" s="1718"/>
      <c r="R42" s="1718"/>
      <c r="S42" s="1718"/>
      <c r="T42" s="1718"/>
      <c r="U42" s="1718"/>
      <c r="V42" s="1718"/>
      <c r="W42" s="1718"/>
      <c r="X42" s="1718"/>
      <c r="Y42" s="1718"/>
      <c r="Z42" s="1718"/>
      <c r="AA42" s="1718"/>
      <c r="AB42" s="1718"/>
      <c r="AC42" s="1718"/>
    </row>
    <row r="43" spans="1:33" s="1688" customFormat="1" ht="35.25" customHeight="1">
      <c r="A43" s="1907" t="s">
        <v>1685</v>
      </c>
      <c r="B43" s="1906"/>
      <c r="C43" s="1906"/>
      <c r="D43" s="1906"/>
      <c r="E43" s="2081"/>
      <c r="F43" s="2081"/>
      <c r="G43" s="2081"/>
      <c r="H43" s="2081"/>
      <c r="I43" s="2080"/>
      <c r="J43" s="2030"/>
      <c r="K43" s="1903" t="s">
        <v>332</v>
      </c>
      <c r="L43" s="3058" t="s">
        <v>1557</v>
      </c>
      <c r="M43" s="3059"/>
      <c r="N43" s="1900" t="s">
        <v>1073</v>
      </c>
      <c r="O43" s="1689"/>
      <c r="P43" s="1903" t="s">
        <v>1559</v>
      </c>
      <c r="Q43" s="3127" t="s">
        <v>1558</v>
      </c>
      <c r="R43" s="3128"/>
      <c r="S43" s="1900" t="s">
        <v>1074</v>
      </c>
      <c r="T43" s="1689"/>
      <c r="U43" s="2079" t="s">
        <v>328</v>
      </c>
      <c r="V43" s="1902" t="s">
        <v>1075</v>
      </c>
      <c r="W43" s="1901" t="s">
        <v>327</v>
      </c>
      <c r="X43" s="1902" t="s">
        <v>326</v>
      </c>
      <c r="Y43" s="1851" t="s">
        <v>1076</v>
      </c>
      <c r="Z43" s="1851" t="s">
        <v>1345</v>
      </c>
      <c r="AA43" s="1851" t="s">
        <v>1077</v>
      </c>
      <c r="AB43" s="1851" t="s">
        <v>1078</v>
      </c>
      <c r="AC43" s="1851" t="s">
        <v>1079</v>
      </c>
      <c r="AD43" s="1851" t="s">
        <v>1080</v>
      </c>
      <c r="AE43" s="1851" t="s">
        <v>1081</v>
      </c>
      <c r="AF43" s="1851" t="s">
        <v>1032</v>
      </c>
      <c r="AG43" s="1851" t="s">
        <v>325</v>
      </c>
    </row>
    <row r="44" spans="1:33" s="1658" customFormat="1" ht="15.75">
      <c r="A44" s="1841" t="s">
        <v>324</v>
      </c>
      <c r="B44" s="1852"/>
      <c r="C44" s="1702"/>
      <c r="D44" s="1702"/>
      <c r="E44" s="1702"/>
      <c r="F44" s="1702"/>
      <c r="G44" s="1702"/>
      <c r="H44" s="1702"/>
      <c r="I44" s="1840"/>
      <c r="J44" s="1689"/>
      <c r="K44" s="1889" t="s">
        <v>1041</v>
      </c>
      <c r="L44" s="2078">
        <f>VLOOKUP(C19,U44:AE55,5,FALSE)*1000</f>
        <v>4822.0109999999995</v>
      </c>
      <c r="M44" s="1786" t="s">
        <v>311</v>
      </c>
      <c r="N44" s="1890"/>
      <c r="O44" s="1689"/>
      <c r="P44" s="1889"/>
      <c r="Q44" s="1758" t="s">
        <v>389</v>
      </c>
      <c r="R44" s="1786" t="s">
        <v>1069</v>
      </c>
      <c r="S44" s="1747" t="s">
        <v>1070</v>
      </c>
      <c r="T44" s="1689"/>
      <c r="U44" s="1889" t="s">
        <v>681</v>
      </c>
      <c r="V44" s="1888">
        <v>1.6E-2</v>
      </c>
      <c r="W44" s="1791">
        <v>1.07</v>
      </c>
      <c r="X44" s="1791">
        <v>1.54</v>
      </c>
      <c r="Y44" s="1791">
        <f t="shared" ref="Y44:Y50" si="0">W44*$C$22/1000+X44</f>
        <v>4.8220109999999998</v>
      </c>
      <c r="Z44" s="1791">
        <f t="shared" ref="Z44:Z51" si="1">(Y44*1000+$C$22)/$C$22</f>
        <v>2.5720702246275224</v>
      </c>
      <c r="AA44" s="1791">
        <f t="shared" ref="AA44:AA51" si="2">Y44*1000/$C$22</f>
        <v>1.5720702246275222</v>
      </c>
      <c r="AB44" s="1791">
        <v>0.2</v>
      </c>
      <c r="AC44" s="1888">
        <v>1.4E-2</v>
      </c>
      <c r="AD44" s="1791">
        <f t="shared" ref="AD44:AD50" si="3">AB44*Z44</f>
        <v>0.51441404492550447</v>
      </c>
      <c r="AE44" s="1791">
        <f t="shared" ref="AE44:AE51" si="4">AD44*$C$22/1000</f>
        <v>1.5778622</v>
      </c>
      <c r="AF44" s="1791">
        <v>16.3</v>
      </c>
      <c r="AG44" s="1791" t="s">
        <v>315</v>
      </c>
    </row>
    <row r="45" spans="1:33" s="1658" customFormat="1" ht="15.75">
      <c r="A45" s="1703"/>
      <c r="B45" s="1702"/>
      <c r="C45" s="1702"/>
      <c r="D45" s="1702"/>
      <c r="E45" s="1702"/>
      <c r="F45" s="1702"/>
      <c r="G45" s="1702"/>
      <c r="H45" s="1702"/>
      <c r="I45" s="1725"/>
      <c r="K45" s="1889" t="s">
        <v>1043</v>
      </c>
      <c r="L45" s="2076">
        <v>1</v>
      </c>
      <c r="M45" s="1891"/>
      <c r="N45" s="1890"/>
      <c r="O45" s="1689"/>
      <c r="P45" s="1895" t="s">
        <v>1311</v>
      </c>
      <c r="Q45" s="1758">
        <v>15</v>
      </c>
      <c r="R45" s="1786">
        <v>10</v>
      </c>
      <c r="S45" s="1747">
        <v>30</v>
      </c>
      <c r="T45" s="1689"/>
      <c r="U45" s="1889" t="s">
        <v>667</v>
      </c>
      <c r="V45" s="1888">
        <v>6.0000000000000001E-3</v>
      </c>
      <c r="W45" s="1791">
        <v>1.51</v>
      </c>
      <c r="X45" s="1791">
        <v>0.52</v>
      </c>
      <c r="Y45" s="1791">
        <f t="shared" si="0"/>
        <v>5.1516230000000007</v>
      </c>
      <c r="Z45" s="1791">
        <f t="shared" si="1"/>
        <v>2.6795302057183843</v>
      </c>
      <c r="AA45" s="1791">
        <f t="shared" si="2"/>
        <v>1.6795302057183843</v>
      </c>
      <c r="AB45" s="1791">
        <v>0.24</v>
      </c>
      <c r="AC45" s="1888">
        <v>8.9999999999999993E-3</v>
      </c>
      <c r="AD45" s="1791">
        <f t="shared" si="3"/>
        <v>0.64308724937241224</v>
      </c>
      <c r="AE45" s="1791">
        <f t="shared" si="4"/>
        <v>1.9725415200000003</v>
      </c>
      <c r="AF45" s="1791">
        <v>17</v>
      </c>
      <c r="AG45" s="1791" t="s">
        <v>315</v>
      </c>
    </row>
    <row r="46" spans="1:33" s="1658" customFormat="1" ht="13.5" customHeight="1">
      <c r="A46" s="1703"/>
      <c r="B46" s="1762" t="s">
        <v>1082</v>
      </c>
      <c r="C46" s="1898">
        <v>93.885500000000008</v>
      </c>
      <c r="D46" s="1702" t="s">
        <v>347</v>
      </c>
      <c r="E46" s="1702" t="s">
        <v>323</v>
      </c>
      <c r="F46" s="1702"/>
      <c r="G46" s="1702"/>
      <c r="H46" s="1702"/>
      <c r="I46" s="1725"/>
      <c r="K46" s="1889" t="s">
        <v>1077</v>
      </c>
      <c r="L46" s="2077">
        <f>VLOOKUP(C19,U44:AE55,7,FALSE)</f>
        <v>1.5720702246275222</v>
      </c>
      <c r="M46" s="1891"/>
      <c r="N46" s="1890"/>
      <c r="O46" s="1689"/>
      <c r="P46" s="1895" t="s">
        <v>1312</v>
      </c>
      <c r="Q46" s="1758">
        <v>10</v>
      </c>
      <c r="R46" s="1786">
        <v>8</v>
      </c>
      <c r="S46" s="1747">
        <v>15</v>
      </c>
      <c r="T46" s="1689"/>
      <c r="U46" s="1889" t="s">
        <v>322</v>
      </c>
      <c r="V46" s="1888">
        <v>6.0000000000000001E-3</v>
      </c>
      <c r="W46" s="1791">
        <v>1.03</v>
      </c>
      <c r="X46" s="1791">
        <v>0.61</v>
      </c>
      <c r="Y46" s="1791">
        <f t="shared" si="0"/>
        <v>3.7693190000000003</v>
      </c>
      <c r="Z46" s="1791">
        <f t="shared" si="1"/>
        <v>2.2288719720927199</v>
      </c>
      <c r="AA46" s="1791">
        <f t="shared" si="2"/>
        <v>1.2288719720927201</v>
      </c>
      <c r="AB46" s="1791">
        <v>0.22</v>
      </c>
      <c r="AC46" s="1888">
        <v>7.0000000000000001E-3</v>
      </c>
      <c r="AD46" s="1791">
        <f t="shared" si="3"/>
        <v>0.49035183386039838</v>
      </c>
      <c r="AE46" s="1791">
        <f t="shared" si="4"/>
        <v>1.5040561800000001</v>
      </c>
      <c r="AF46" s="1791">
        <v>18.5</v>
      </c>
      <c r="AG46" s="1791" t="s">
        <v>315</v>
      </c>
    </row>
    <row r="47" spans="1:33" s="1658" customFormat="1" ht="15.75">
      <c r="A47" s="1703"/>
      <c r="B47" s="1762" t="s">
        <v>1042</v>
      </c>
      <c r="C47" s="1898">
        <v>0</v>
      </c>
      <c r="D47" s="1702" t="s">
        <v>347</v>
      </c>
      <c r="E47" s="1702" t="s">
        <v>354</v>
      </c>
      <c r="F47" s="1702"/>
      <c r="G47" s="1702"/>
      <c r="H47" s="1702"/>
      <c r="I47" s="1725"/>
      <c r="K47" s="1889" t="s">
        <v>1046</v>
      </c>
      <c r="L47" s="1702">
        <f>VLOOKUP(C19,U44:V55,2,FALSE)</f>
        <v>1.6E-2</v>
      </c>
      <c r="M47" s="1891"/>
      <c r="N47" s="1890"/>
      <c r="O47" s="1689"/>
      <c r="P47" s="1889"/>
      <c r="Q47" s="1891"/>
      <c r="R47" s="1891"/>
      <c r="S47" s="1890"/>
      <c r="T47" s="1689"/>
      <c r="U47" s="2677" t="s">
        <v>1551</v>
      </c>
      <c r="V47" s="1888"/>
      <c r="W47" s="1791"/>
      <c r="X47" s="1791"/>
      <c r="Y47" s="1791">
        <f t="shared" si="0"/>
        <v>0</v>
      </c>
      <c r="Z47" s="1791">
        <f t="shared" si="1"/>
        <v>1</v>
      </c>
      <c r="AA47" s="1791">
        <f t="shared" si="2"/>
        <v>0</v>
      </c>
      <c r="AB47" s="1791"/>
      <c r="AC47" s="1888"/>
      <c r="AD47" s="1791">
        <f t="shared" si="3"/>
        <v>0</v>
      </c>
      <c r="AE47" s="1791">
        <f t="shared" si="4"/>
        <v>0</v>
      </c>
      <c r="AF47" s="1791">
        <v>19.600000000000001</v>
      </c>
      <c r="AG47" s="1791" t="s">
        <v>315</v>
      </c>
    </row>
    <row r="48" spans="1:33" s="1658" customFormat="1" ht="15.75">
      <c r="A48" s="1703"/>
      <c r="B48" s="1762" t="s">
        <v>1044</v>
      </c>
      <c r="C48" s="1896">
        <f>L52</f>
        <v>99.242246799999975</v>
      </c>
      <c r="D48" s="1702" t="s">
        <v>347</v>
      </c>
      <c r="E48" s="1702" t="s">
        <v>351</v>
      </c>
      <c r="F48" s="1702"/>
      <c r="G48" s="1702"/>
      <c r="H48" s="1702"/>
      <c r="I48" s="1725"/>
      <c r="K48" s="1889" t="s">
        <v>1047</v>
      </c>
      <c r="L48" s="2076">
        <f>C23/L46/C22</f>
        <v>0</v>
      </c>
      <c r="M48" s="1891"/>
      <c r="N48" s="1890"/>
      <c r="O48" s="1689"/>
      <c r="P48" s="1895" t="s">
        <v>1045</v>
      </c>
      <c r="Q48" s="1758">
        <f>IF(C28="arable to arable land",C29/Q46*1000,C29/Q45*1000)</f>
        <v>0</v>
      </c>
      <c r="R48" s="1786" t="s">
        <v>321</v>
      </c>
      <c r="S48" s="1878" t="s">
        <v>320</v>
      </c>
      <c r="T48" s="1689"/>
      <c r="U48" s="1889" t="s">
        <v>319</v>
      </c>
      <c r="V48" s="1888">
        <v>6.0000000000000001E-3</v>
      </c>
      <c r="W48" s="1791">
        <v>1.0900000000000001</v>
      </c>
      <c r="X48" s="1791">
        <v>0.88</v>
      </c>
      <c r="Y48" s="1791">
        <f t="shared" si="0"/>
        <v>4.2233570000000009</v>
      </c>
      <c r="Z48" s="1791">
        <f t="shared" si="1"/>
        <v>2.3768972712157272</v>
      </c>
      <c r="AA48" s="1791">
        <f t="shared" si="2"/>
        <v>1.3768972712157275</v>
      </c>
      <c r="AB48" s="1791">
        <v>0.22</v>
      </c>
      <c r="AC48" s="1888">
        <v>8.9999999999999993E-3</v>
      </c>
      <c r="AD48" s="1791">
        <f t="shared" si="3"/>
        <v>0.52291739966745998</v>
      </c>
      <c r="AE48" s="1791">
        <f t="shared" si="4"/>
        <v>1.6039445400000001</v>
      </c>
      <c r="AF48" s="1791">
        <v>26.4</v>
      </c>
      <c r="AG48" s="1791" t="s">
        <v>315</v>
      </c>
    </row>
    <row r="49" spans="1:33" s="1658" customFormat="1" ht="16.5" thickBot="1">
      <c r="A49" s="1703"/>
      <c r="B49" s="1762" t="s">
        <v>1045</v>
      </c>
      <c r="C49" s="1882">
        <f>Q48</f>
        <v>0</v>
      </c>
      <c r="D49" s="1702" t="s">
        <v>347</v>
      </c>
      <c r="E49" s="1702" t="s">
        <v>318</v>
      </c>
      <c r="F49" s="1702"/>
      <c r="G49" s="1702"/>
      <c r="H49" s="1702"/>
      <c r="I49" s="1725"/>
      <c r="K49" s="1889" t="s">
        <v>1080</v>
      </c>
      <c r="L49" s="1844">
        <f>VLOOKUP(C19,U44:AE55,10,FALSE)</f>
        <v>0.51441404492550447</v>
      </c>
      <c r="M49" s="1891"/>
      <c r="N49" s="1890"/>
      <c r="O49" s="1689"/>
      <c r="P49" s="1877" t="s">
        <v>396</v>
      </c>
      <c r="Q49" s="1876"/>
      <c r="R49" s="1876"/>
      <c r="S49" s="1875"/>
      <c r="T49" s="1689"/>
      <c r="U49" s="2677" t="s">
        <v>274</v>
      </c>
      <c r="V49" s="1888">
        <v>6.0000000000000001E-3</v>
      </c>
      <c r="W49" s="1791">
        <v>1.0900000000000001</v>
      </c>
      <c r="X49" s="1791">
        <v>0.88</v>
      </c>
      <c r="Y49" s="1791">
        <f t="shared" si="0"/>
        <v>4.2233570000000009</v>
      </c>
      <c r="Z49" s="1791">
        <f t="shared" si="1"/>
        <v>2.3768972712157272</v>
      </c>
      <c r="AA49" s="1791">
        <f t="shared" si="2"/>
        <v>1.3768972712157275</v>
      </c>
      <c r="AB49" s="1791">
        <v>0.22</v>
      </c>
      <c r="AC49" s="1888">
        <v>8.9999999999999993E-3</v>
      </c>
      <c r="AD49" s="1791">
        <f t="shared" si="3"/>
        <v>0.52291739966745998</v>
      </c>
      <c r="AE49" s="1791">
        <f t="shared" si="4"/>
        <v>1.6039445400000001</v>
      </c>
      <c r="AF49" s="1791">
        <v>26.4</v>
      </c>
      <c r="AG49" s="1791" t="s">
        <v>315</v>
      </c>
    </row>
    <row r="50" spans="1:33" s="1658" customFormat="1" ht="15.75">
      <c r="A50" s="1736"/>
      <c r="B50" s="1735"/>
      <c r="C50" s="1735"/>
      <c r="D50" s="1735"/>
      <c r="E50" s="1735"/>
      <c r="F50" s="1735"/>
      <c r="G50" s="1735"/>
      <c r="H50" s="1735"/>
      <c r="I50" s="1725"/>
      <c r="K50" s="1889" t="s">
        <v>1048</v>
      </c>
      <c r="L50" s="2077">
        <f>VLOOKUP(C19,U44:AE55,9,FALSE)</f>
        <v>1.4E-2</v>
      </c>
      <c r="M50" s="1891"/>
      <c r="N50" s="1890"/>
      <c r="O50" s="1689"/>
      <c r="P50" s="1689"/>
      <c r="Q50" s="1689"/>
      <c r="R50" s="1859"/>
      <c r="S50" s="1689"/>
      <c r="T50" s="1689"/>
      <c r="U50" s="1889" t="s">
        <v>317</v>
      </c>
      <c r="V50" s="1888">
        <v>8.0000000000000002E-3</v>
      </c>
      <c r="W50" s="1791">
        <v>0.93</v>
      </c>
      <c r="X50" s="1791">
        <v>1.35</v>
      </c>
      <c r="Y50" s="1791">
        <f t="shared" si="0"/>
        <v>4.2025890000000006</v>
      </c>
      <c r="Z50" s="1791">
        <f t="shared" si="1"/>
        <v>2.3701264956150361</v>
      </c>
      <c r="AA50" s="1791">
        <f t="shared" si="2"/>
        <v>1.3701264956150363</v>
      </c>
      <c r="AB50" s="1791">
        <v>0.19</v>
      </c>
      <c r="AC50" s="1888">
        <v>8.0000000000000002E-3</v>
      </c>
      <c r="AD50" s="1791">
        <f t="shared" si="3"/>
        <v>0.45032403416685685</v>
      </c>
      <c r="AE50" s="1791">
        <f t="shared" si="4"/>
        <v>1.38127891</v>
      </c>
      <c r="AF50" s="1791">
        <v>23.529411764705884</v>
      </c>
      <c r="AG50" s="1791" t="s">
        <v>315</v>
      </c>
    </row>
    <row r="51" spans="1:33" s="1658" customFormat="1" ht="15.75">
      <c r="A51" s="1703"/>
      <c r="B51" s="1735"/>
      <c r="C51" s="1893" t="s">
        <v>389</v>
      </c>
      <c r="D51" s="1697" t="s">
        <v>1069</v>
      </c>
      <c r="E51" s="1696" t="s">
        <v>1070</v>
      </c>
      <c r="F51" s="1762"/>
      <c r="G51" s="1792"/>
      <c r="H51" s="1792"/>
      <c r="I51" s="1725"/>
      <c r="K51" s="1889" t="s">
        <v>1078</v>
      </c>
      <c r="L51" s="2077">
        <f>VLOOKUP(C19,U44:AE55,8,FALSE)</f>
        <v>0.2</v>
      </c>
      <c r="M51" s="1891"/>
      <c r="N51" s="1890"/>
      <c r="O51" s="1689"/>
      <c r="P51" s="1689"/>
      <c r="Q51" s="1689"/>
      <c r="R51" s="1859"/>
      <c r="S51" s="1689"/>
      <c r="T51" s="1689"/>
      <c r="U51" s="1889" t="s">
        <v>316</v>
      </c>
      <c r="V51" s="1888">
        <v>1.0999999999999999E-2</v>
      </c>
      <c r="W51" s="1791"/>
      <c r="X51" s="1791"/>
      <c r="Y51" s="1791">
        <f>C20*C34/1000</f>
        <v>0</v>
      </c>
      <c r="Z51" s="1791">
        <f t="shared" si="1"/>
        <v>1</v>
      </c>
      <c r="AA51" s="1791">
        <f t="shared" si="2"/>
        <v>0</v>
      </c>
      <c r="AB51" s="1791"/>
      <c r="AC51" s="1888"/>
      <c r="AD51" s="1791"/>
      <c r="AE51" s="1791">
        <f t="shared" si="4"/>
        <v>0</v>
      </c>
      <c r="AF51" s="1791">
        <v>24</v>
      </c>
      <c r="AG51" s="1791" t="s">
        <v>315</v>
      </c>
    </row>
    <row r="52" spans="1:33" s="1658" customFormat="1" ht="14.25">
      <c r="A52" s="1886" t="s">
        <v>314</v>
      </c>
      <c r="B52" s="1766" t="s">
        <v>1206</v>
      </c>
      <c r="C52" s="1775">
        <v>0.01</v>
      </c>
      <c r="D52" s="1764">
        <v>3.0000000000000001E-3</v>
      </c>
      <c r="E52" s="1763">
        <v>0.03</v>
      </c>
      <c r="F52" s="1762"/>
      <c r="G52" s="1762"/>
      <c r="H52" s="1762"/>
      <c r="I52" s="1725"/>
      <c r="K52" s="1880" t="s">
        <v>1073</v>
      </c>
      <c r="L52" s="2076">
        <f>IF(C19="Sugar cane",(C36*C38+C37*C39)*C20/1000,C22*L45*(L46*L47*(1-L48)+L49*L50))</f>
        <v>99.242246799999975</v>
      </c>
      <c r="M52" s="1786" t="s">
        <v>311</v>
      </c>
      <c r="N52" s="1878" t="s">
        <v>313</v>
      </c>
      <c r="O52" s="1689"/>
      <c r="P52" s="1689"/>
      <c r="Q52" s="1689"/>
      <c r="R52" s="1859"/>
      <c r="S52" s="1689"/>
      <c r="T52" s="1689"/>
      <c r="U52" s="1885" t="s">
        <v>312</v>
      </c>
      <c r="V52" s="1884"/>
      <c r="W52" s="1882"/>
      <c r="X52" s="1882"/>
      <c r="Y52" s="1882"/>
      <c r="Z52" s="1882"/>
      <c r="AA52" s="1882"/>
      <c r="AB52" s="1882"/>
      <c r="AC52" s="1883"/>
      <c r="AD52" s="1882"/>
      <c r="AE52" s="1882"/>
      <c r="AF52" s="1882"/>
      <c r="AG52" s="1881"/>
    </row>
    <row r="53" spans="1:33" s="1658" customFormat="1">
      <c r="A53" s="1736"/>
      <c r="B53" s="1735"/>
      <c r="C53" s="1735"/>
      <c r="D53" s="1735"/>
      <c r="E53" s="1735"/>
      <c r="F53" s="1735"/>
      <c r="G53" s="1735"/>
      <c r="H53" s="1735"/>
      <c r="I53" s="1725"/>
      <c r="K53" s="1880"/>
      <c r="L53" s="2075">
        <f>IF(C19="sugar cane",(C36*C38+C37*C39)*C20/1000,L44*L45*(L47*(1-L48)+L51*L50))</f>
        <v>90.653806799999998</v>
      </c>
      <c r="M53" s="1786" t="s">
        <v>311</v>
      </c>
      <c r="N53" s="1878" t="s">
        <v>310</v>
      </c>
      <c r="O53" s="1689"/>
      <c r="P53" s="1689"/>
      <c r="Q53" s="1689"/>
      <c r="R53" s="1689"/>
      <c r="S53" s="1689"/>
      <c r="T53" s="1689"/>
      <c r="U53" s="1874" t="s">
        <v>309</v>
      </c>
      <c r="V53" s="1873"/>
      <c r="W53" s="1871"/>
      <c r="X53" s="1871"/>
      <c r="Y53" s="1871"/>
      <c r="Z53" s="1871"/>
      <c r="AA53" s="1871"/>
      <c r="AB53" s="1871"/>
      <c r="AC53" s="1872"/>
      <c r="AD53" s="1871"/>
      <c r="AE53" s="1871"/>
      <c r="AF53" s="1871"/>
      <c r="AG53" s="1870"/>
    </row>
    <row r="54" spans="1:33" s="1658" customFormat="1" ht="16.5" thickBot="1">
      <c r="A54" s="1736"/>
      <c r="B54" s="1735"/>
      <c r="C54" s="3076" t="s">
        <v>391</v>
      </c>
      <c r="D54" s="3077"/>
      <c r="E54" s="3078"/>
      <c r="F54" s="3076" t="s">
        <v>390</v>
      </c>
      <c r="G54" s="3077"/>
      <c r="H54" s="3078"/>
      <c r="I54" s="1725"/>
      <c r="K54" s="1877" t="s">
        <v>396</v>
      </c>
      <c r="L54" s="1876"/>
      <c r="M54" s="1876"/>
      <c r="N54" s="1875"/>
      <c r="U54" s="1874" t="s">
        <v>308</v>
      </c>
      <c r="V54" s="1873"/>
      <c r="W54" s="1871"/>
      <c r="X54" s="1871"/>
      <c r="Y54" s="1871"/>
      <c r="Z54" s="1871"/>
      <c r="AA54" s="1871"/>
      <c r="AB54" s="1871"/>
      <c r="AC54" s="1872"/>
      <c r="AD54" s="1871"/>
      <c r="AE54" s="1871"/>
      <c r="AF54" s="1871"/>
      <c r="AG54" s="1870"/>
    </row>
    <row r="55" spans="1:33" s="1658" customFormat="1" ht="13.5" thickBot="1">
      <c r="A55" s="1736"/>
      <c r="B55" s="1735"/>
      <c r="C55" s="1698" t="s">
        <v>389</v>
      </c>
      <c r="D55" s="1697" t="s">
        <v>1069</v>
      </c>
      <c r="E55" s="1696" t="s">
        <v>1070</v>
      </c>
      <c r="F55" s="1698" t="s">
        <v>389</v>
      </c>
      <c r="G55" s="1697" t="s">
        <v>1069</v>
      </c>
      <c r="H55" s="1696" t="s">
        <v>1070</v>
      </c>
      <c r="I55" s="1725"/>
      <c r="K55" s="1869"/>
      <c r="L55" s="1868"/>
      <c r="M55" s="1868"/>
      <c r="N55" s="1868"/>
      <c r="U55" s="1867" t="s">
        <v>307</v>
      </c>
      <c r="V55" s="1866"/>
      <c r="W55" s="1864"/>
      <c r="X55" s="1864"/>
      <c r="Y55" s="1864"/>
      <c r="Z55" s="1864"/>
      <c r="AA55" s="1864"/>
      <c r="AB55" s="1864"/>
      <c r="AC55" s="1865"/>
      <c r="AD55" s="1864"/>
      <c r="AE55" s="1864"/>
      <c r="AF55" s="1864"/>
      <c r="AG55" s="1863"/>
    </row>
    <row r="56" spans="1:33" s="1658" customFormat="1" ht="15" customHeight="1">
      <c r="A56" s="1785" t="s">
        <v>306</v>
      </c>
      <c r="B56" s="1862" t="s">
        <v>305</v>
      </c>
      <c r="C56" s="1730">
        <f>SUM(C46:C49)*C52</f>
        <v>1.9312774679999998</v>
      </c>
      <c r="D56" s="1727">
        <f>SUM(C46:C49)*D52</f>
        <v>0.5793832404</v>
      </c>
      <c r="E56" s="1726">
        <f>SUM(C46:C49)*E52</f>
        <v>5.7938324039999989</v>
      </c>
      <c r="F56" s="1728">
        <f>C56*44/28</f>
        <v>3.0348645925714282</v>
      </c>
      <c r="G56" s="1727">
        <f>D56*44/28</f>
        <v>0.9104593777714286</v>
      </c>
      <c r="H56" s="1726">
        <f>E56*44/28</f>
        <v>9.1045937777142836</v>
      </c>
      <c r="I56" s="1861" t="s">
        <v>304</v>
      </c>
      <c r="J56" s="1860"/>
      <c r="K56" s="1859"/>
      <c r="L56" s="1859"/>
      <c r="M56" s="1689"/>
      <c r="N56" s="1689"/>
      <c r="O56" s="1689"/>
      <c r="P56" s="1689"/>
      <c r="Q56" s="1689"/>
      <c r="R56" s="1689"/>
      <c r="S56" s="1689"/>
      <c r="T56" s="1689"/>
      <c r="U56" s="1689"/>
      <c r="V56" s="1689"/>
      <c r="W56" s="1689"/>
      <c r="X56" s="1689"/>
      <c r="Y56" s="1689"/>
      <c r="Z56" s="1689"/>
      <c r="AA56" s="1689"/>
      <c r="AB56" s="1689"/>
      <c r="AC56" s="1689"/>
    </row>
    <row r="57" spans="1:33" s="1658" customFormat="1" ht="14.25">
      <c r="A57" s="1703"/>
      <c r="B57" s="1702"/>
      <c r="C57" s="1844"/>
      <c r="D57" s="1702"/>
      <c r="E57" s="1702"/>
      <c r="F57" s="1844"/>
      <c r="G57" s="1702"/>
      <c r="H57" s="1702"/>
      <c r="I57" s="1840"/>
      <c r="J57" s="1689"/>
      <c r="K57" s="1689"/>
      <c r="L57" s="1689"/>
      <c r="M57" s="1689"/>
      <c r="N57" s="1689"/>
      <c r="O57" s="1689"/>
      <c r="P57" s="1689"/>
      <c r="Q57" s="1689"/>
      <c r="R57" s="1689"/>
      <c r="S57" s="1689"/>
      <c r="T57" s="1689"/>
      <c r="U57" s="2074" t="s">
        <v>1560</v>
      </c>
      <c r="V57" s="2073" t="s">
        <v>1562</v>
      </c>
      <c r="W57" s="2072"/>
      <c r="X57" s="2072"/>
      <c r="Y57" s="2072"/>
      <c r="Z57" s="2072" t="s">
        <v>1561</v>
      </c>
      <c r="AA57" s="2072"/>
      <c r="AB57" s="2072"/>
      <c r="AC57" s="2072"/>
      <c r="AD57" s="2072"/>
      <c r="AE57" s="2072"/>
      <c r="AF57" s="2072"/>
      <c r="AG57" s="2071"/>
    </row>
    <row r="58" spans="1:33" s="1658" customFormat="1" ht="15.75" customHeight="1">
      <c r="A58" s="1841" t="s">
        <v>301</v>
      </c>
      <c r="B58" s="1852"/>
      <c r="C58" s="2676" t="s">
        <v>1556</v>
      </c>
      <c r="D58" s="1702"/>
      <c r="E58" s="1702"/>
      <c r="F58" s="1702"/>
      <c r="G58" s="1702"/>
      <c r="H58" s="1702"/>
      <c r="I58" s="1840"/>
      <c r="J58" s="1689"/>
      <c r="K58" s="1689"/>
      <c r="L58" s="1689"/>
      <c r="M58" s="1689"/>
      <c r="N58" s="1689"/>
      <c r="O58" s="1689"/>
      <c r="P58" s="1689"/>
      <c r="Q58" s="1689"/>
      <c r="R58" s="1689"/>
      <c r="S58" s="1689"/>
      <c r="T58" s="1689"/>
      <c r="U58" s="1836" t="s">
        <v>1245</v>
      </c>
      <c r="V58" s="3098" t="s">
        <v>299</v>
      </c>
      <c r="W58" s="3099"/>
      <c r="X58" s="3100"/>
      <c r="Y58" s="3130" t="s">
        <v>298</v>
      </c>
      <c r="Z58" s="3129" t="s">
        <v>1553</v>
      </c>
      <c r="AA58" s="3087"/>
      <c r="AB58" s="3088"/>
      <c r="AC58" s="1856"/>
      <c r="AD58" s="1855"/>
      <c r="AE58" s="1855"/>
      <c r="AF58" s="1855"/>
      <c r="AG58" s="2070"/>
    </row>
    <row r="59" spans="1:33" s="1658" customFormat="1" ht="15" customHeight="1">
      <c r="A59" s="1853"/>
      <c r="B59" s="1852"/>
      <c r="C59" s="3076" t="s">
        <v>391</v>
      </c>
      <c r="D59" s="3077"/>
      <c r="E59" s="3078"/>
      <c r="F59" s="3076" t="s">
        <v>390</v>
      </c>
      <c r="G59" s="3077"/>
      <c r="H59" s="3078"/>
      <c r="I59" s="1840"/>
      <c r="J59" s="1689"/>
      <c r="K59" s="1689"/>
      <c r="L59" s="1689"/>
      <c r="M59" s="1689"/>
      <c r="N59" s="1689"/>
      <c r="O59" s="1689"/>
      <c r="P59" s="1689"/>
      <c r="Q59" s="1689"/>
      <c r="R59" s="1689"/>
      <c r="S59" s="1689"/>
      <c r="T59" s="1689"/>
      <c r="U59" s="1836" t="s">
        <v>297</v>
      </c>
      <c r="V59" s="1838" t="s">
        <v>1674</v>
      </c>
      <c r="W59" s="1837"/>
      <c r="X59" s="1837"/>
      <c r="Y59" s="3131"/>
      <c r="Z59" s="3089"/>
      <c r="AA59" s="3090"/>
      <c r="AB59" s="3091"/>
      <c r="AC59" s="1842"/>
      <c r="AD59" s="1835"/>
      <c r="AE59" s="1835"/>
      <c r="AF59" s="1835"/>
      <c r="AG59" s="2067"/>
    </row>
    <row r="60" spans="1:33" s="1658" customFormat="1" ht="17.25" customHeight="1">
      <c r="A60" s="1703" t="str">
        <f>IF(C19="sugar cane", "N2O from trash burning","")</f>
        <v/>
      </c>
      <c r="B60" s="1702"/>
      <c r="C60" s="1850" t="str">
        <f>IF(C19="sugar cane",F60*28/44,"")</f>
        <v/>
      </c>
      <c r="D60" s="1849"/>
      <c r="E60" s="1849"/>
      <c r="F60" s="1850" t="str">
        <f>IF(C19="sugar cane",0.00825*C20/1000,"")</f>
        <v/>
      </c>
      <c r="G60" s="1849"/>
      <c r="H60" s="2069"/>
      <c r="I60" s="1845"/>
      <c r="J60" s="1689"/>
      <c r="K60" s="1689"/>
      <c r="L60" s="1689"/>
      <c r="M60" s="1689"/>
      <c r="N60" s="1689"/>
      <c r="O60" s="1689"/>
      <c r="P60" s="1689"/>
      <c r="Q60" s="1689"/>
      <c r="R60" s="1689"/>
      <c r="S60" s="1689"/>
      <c r="T60" s="1689"/>
      <c r="U60" s="1836" t="s">
        <v>297</v>
      </c>
      <c r="V60" s="1838" t="s">
        <v>1674</v>
      </c>
      <c r="W60" s="1837"/>
      <c r="X60" s="1837"/>
      <c r="Y60" s="2068" t="s">
        <v>379</v>
      </c>
      <c r="Z60" s="3092" t="s">
        <v>378</v>
      </c>
      <c r="AA60" s="3093"/>
      <c r="AB60" s="3094"/>
      <c r="AC60" s="1842"/>
      <c r="AD60" s="1835"/>
      <c r="AE60" s="1835"/>
      <c r="AF60" s="1835"/>
      <c r="AG60" s="2067"/>
    </row>
    <row r="61" spans="1:33" s="1658" customFormat="1" ht="15.75" customHeight="1">
      <c r="A61" s="1841" t="s">
        <v>377</v>
      </c>
      <c r="B61" s="1702"/>
      <c r="C61" s="1702"/>
      <c r="D61" s="1702"/>
      <c r="E61" s="1702"/>
      <c r="F61" s="1844"/>
      <c r="G61" s="1702"/>
      <c r="H61" s="1702"/>
      <c r="I61" s="1840"/>
      <c r="J61" s="1689"/>
      <c r="K61" s="1689"/>
      <c r="L61" s="1689"/>
      <c r="M61" s="1689"/>
      <c r="N61" s="1689"/>
      <c r="O61" s="1689"/>
      <c r="P61" s="1689"/>
      <c r="Q61" s="1689"/>
      <c r="R61" s="1689"/>
      <c r="S61" s="1689"/>
      <c r="T61" s="1689"/>
      <c r="U61" s="1836" t="s">
        <v>1224</v>
      </c>
      <c r="V61" s="3101" t="s">
        <v>376</v>
      </c>
      <c r="W61" s="3101"/>
      <c r="X61" s="3101"/>
      <c r="Y61" s="2068" t="s">
        <v>375</v>
      </c>
      <c r="Z61" s="1843" t="s">
        <v>374</v>
      </c>
      <c r="AA61" s="1843"/>
      <c r="AB61" s="1843"/>
      <c r="AC61" s="1842"/>
      <c r="AD61" s="1835"/>
      <c r="AE61" s="1835"/>
      <c r="AF61" s="1835"/>
      <c r="AG61" s="2067"/>
    </row>
    <row r="62" spans="1:33" s="1658" customFormat="1" ht="20.25" customHeight="1">
      <c r="A62" s="1841"/>
      <c r="B62" s="1702"/>
      <c r="C62" s="3076" t="s">
        <v>391</v>
      </c>
      <c r="D62" s="3077"/>
      <c r="E62" s="3078"/>
      <c r="F62" s="3076" t="s">
        <v>390</v>
      </c>
      <c r="G62" s="3077"/>
      <c r="H62" s="3078"/>
      <c r="I62" s="1840"/>
      <c r="J62" s="1689"/>
      <c r="K62" s="1689"/>
      <c r="L62" s="1689"/>
      <c r="M62" s="1689"/>
      <c r="N62" s="1689"/>
      <c r="O62" s="1689"/>
      <c r="P62" s="1689"/>
      <c r="Q62" s="1689"/>
      <c r="R62" s="1689"/>
      <c r="S62" s="1689"/>
      <c r="T62" s="1689"/>
      <c r="U62" s="1836" t="s">
        <v>1031</v>
      </c>
      <c r="V62" s="3101" t="s">
        <v>373</v>
      </c>
      <c r="W62" s="3101"/>
      <c r="X62" s="3101"/>
      <c r="Y62" s="2068" t="s">
        <v>372</v>
      </c>
      <c r="Z62" s="3092" t="s">
        <v>1670</v>
      </c>
      <c r="AA62" s="3093"/>
      <c r="AB62" s="3094"/>
      <c r="AC62" s="1842"/>
      <c r="AD62" s="1835"/>
      <c r="AE62" s="1835"/>
      <c r="AF62" s="1835"/>
      <c r="AG62" s="2067"/>
    </row>
    <row r="63" spans="1:33" s="1658" customFormat="1" ht="14.25">
      <c r="A63" s="1841"/>
      <c r="B63" s="1702"/>
      <c r="C63" s="1698" t="s">
        <v>389</v>
      </c>
      <c r="D63" s="1697" t="s">
        <v>1069</v>
      </c>
      <c r="E63" s="1696" t="s">
        <v>1070</v>
      </c>
      <c r="F63" s="1698" t="s">
        <v>389</v>
      </c>
      <c r="G63" s="1697" t="s">
        <v>1069</v>
      </c>
      <c r="H63" s="1696" t="s">
        <v>1070</v>
      </c>
      <c r="I63" s="1840"/>
      <c r="J63" s="1689"/>
      <c r="K63" s="1689"/>
      <c r="L63" s="1689"/>
      <c r="M63" s="1689"/>
      <c r="N63" s="1689"/>
      <c r="O63" s="1689"/>
      <c r="P63" s="1689"/>
      <c r="Q63" s="1689"/>
      <c r="R63" s="1689"/>
      <c r="S63" s="1689"/>
      <c r="T63" s="1689"/>
      <c r="U63" s="1836" t="s">
        <v>1227</v>
      </c>
      <c r="V63" s="1838" t="s">
        <v>1668</v>
      </c>
      <c r="W63" s="1837"/>
      <c r="X63" s="1837"/>
      <c r="Y63" s="2068" t="s">
        <v>1236</v>
      </c>
      <c r="Z63" s="3092" t="s">
        <v>371</v>
      </c>
      <c r="AA63" s="3093"/>
      <c r="AB63" s="3094"/>
      <c r="AC63" s="3085" t="s">
        <v>396</v>
      </c>
      <c r="AD63" s="3085"/>
      <c r="AE63" s="3085"/>
      <c r="AF63" s="1835"/>
      <c r="AG63" s="2067"/>
    </row>
    <row r="64" spans="1:33" s="1658" customFormat="1" ht="21.75" customHeight="1" thickBot="1">
      <c r="A64" s="2066" t="s">
        <v>370</v>
      </c>
      <c r="B64" s="1702"/>
      <c r="C64" s="2065">
        <f t="shared" ref="C64:H64" si="5">IF($C$19="Sugar cane",SUM(C56,C60),C56)</f>
        <v>1.9312774679999998</v>
      </c>
      <c r="D64" s="2064">
        <f t="shared" si="5"/>
        <v>0.5793832404</v>
      </c>
      <c r="E64" s="2064">
        <f t="shared" si="5"/>
        <v>5.7938324039999989</v>
      </c>
      <c r="F64" s="2065">
        <f t="shared" si="5"/>
        <v>3.0348645925714282</v>
      </c>
      <c r="G64" s="2064">
        <f t="shared" si="5"/>
        <v>0.9104593777714286</v>
      </c>
      <c r="H64" s="2063">
        <f t="shared" si="5"/>
        <v>9.1045937777142836</v>
      </c>
      <c r="I64" s="1840"/>
      <c r="J64" s="1689"/>
      <c r="K64" s="1689"/>
      <c r="L64" s="1689"/>
      <c r="M64" s="1689"/>
      <c r="N64" s="1689"/>
      <c r="O64" s="1689"/>
      <c r="P64" s="1689"/>
      <c r="Q64" s="1689"/>
      <c r="R64" s="1689"/>
      <c r="S64" s="1689"/>
      <c r="T64" s="1689"/>
      <c r="U64" s="1836" t="s">
        <v>369</v>
      </c>
      <c r="V64" s="1828" t="s">
        <v>368</v>
      </c>
      <c r="W64" s="1827"/>
      <c r="X64" s="1827"/>
      <c r="Y64" s="2060"/>
      <c r="Z64" s="2062"/>
      <c r="AA64" s="2060"/>
      <c r="AB64" s="2060"/>
      <c r="AC64" s="2061"/>
      <c r="AD64" s="2060"/>
      <c r="AE64" s="2060"/>
      <c r="AF64" s="2060"/>
      <c r="AG64" s="2059"/>
    </row>
    <row r="65" spans="1:31" s="1658" customFormat="1" ht="13.5" thickBot="1">
      <c r="A65" s="1673"/>
      <c r="B65" s="1672"/>
      <c r="C65" s="1672"/>
      <c r="D65" s="1672"/>
      <c r="E65" s="1672"/>
      <c r="F65" s="1672"/>
      <c r="G65" s="1672"/>
      <c r="H65" s="1672"/>
      <c r="I65" s="1671"/>
      <c r="J65" s="1689"/>
      <c r="K65" s="1689"/>
      <c r="L65" s="1689"/>
      <c r="M65" s="1689"/>
      <c r="N65" s="1689"/>
      <c r="O65" s="1689"/>
      <c r="P65" s="1689"/>
      <c r="Q65" s="1689"/>
      <c r="R65" s="1689"/>
      <c r="S65" s="1689"/>
      <c r="T65" s="1689"/>
      <c r="U65" s="1689"/>
      <c r="V65" s="1689"/>
      <c r="W65" s="1689"/>
      <c r="X65" s="1689"/>
      <c r="Y65" s="1689"/>
      <c r="Z65" s="1689"/>
      <c r="AA65" s="1689"/>
      <c r="AB65" s="1689"/>
      <c r="AC65" s="1689"/>
    </row>
    <row r="66" spans="1:31" s="1658" customFormat="1" ht="21" customHeight="1" thickBot="1">
      <c r="A66" s="1689"/>
      <c r="B66" s="1689"/>
      <c r="C66" s="1820"/>
      <c r="D66" s="1689"/>
      <c r="E66" s="1689"/>
      <c r="F66" s="1820"/>
      <c r="G66" s="1689"/>
      <c r="H66" s="1689"/>
      <c r="I66" s="1689"/>
      <c r="J66" s="1689"/>
      <c r="W66" s="1689"/>
      <c r="X66" s="1689"/>
      <c r="Y66" s="1689"/>
      <c r="Z66" s="1689"/>
      <c r="AA66" s="1689"/>
      <c r="AB66" s="1689"/>
      <c r="AC66" s="1689"/>
    </row>
    <row r="67" spans="1:31" s="1658" customFormat="1" ht="14.25">
      <c r="A67" s="3125" t="s">
        <v>1686</v>
      </c>
      <c r="B67" s="3126"/>
      <c r="C67" s="1817" t="s">
        <v>1687</v>
      </c>
      <c r="D67" s="1815"/>
      <c r="E67" s="1816"/>
      <c r="F67" s="1815"/>
      <c r="G67" s="1815"/>
      <c r="H67" s="1815"/>
      <c r="I67" s="1814"/>
      <c r="J67" s="1689"/>
      <c r="K67" s="1813" t="s">
        <v>366</v>
      </c>
      <c r="L67" s="3060" t="s">
        <v>365</v>
      </c>
      <c r="M67" s="3060"/>
      <c r="N67" s="1812" t="s">
        <v>1050</v>
      </c>
      <c r="O67" s="1811" t="s">
        <v>364</v>
      </c>
      <c r="P67" s="1689"/>
      <c r="Q67" s="1813" t="s">
        <v>363</v>
      </c>
      <c r="R67" s="1812" t="s">
        <v>362</v>
      </c>
      <c r="S67" s="1812" t="s">
        <v>1051</v>
      </c>
      <c r="T67" s="1812"/>
      <c r="U67" s="1811" t="s">
        <v>361</v>
      </c>
      <c r="V67" s="1689"/>
      <c r="W67" s="2058" t="s">
        <v>360</v>
      </c>
      <c r="X67" s="1809" t="s">
        <v>359</v>
      </c>
      <c r="Y67" s="1809"/>
      <c r="Z67" s="1808" t="s">
        <v>1563</v>
      </c>
      <c r="AA67" s="1808"/>
      <c r="AB67" s="1808"/>
      <c r="AC67" s="1808"/>
      <c r="AD67" s="1808"/>
      <c r="AE67" s="1807"/>
    </row>
    <row r="68" spans="1:31" s="1720" customFormat="1" ht="15.75">
      <c r="A68" s="1806"/>
      <c r="B68" s="1805"/>
      <c r="C68" s="1805"/>
      <c r="D68" s="1805"/>
      <c r="E68" s="1805"/>
      <c r="F68" s="1805"/>
      <c r="G68" s="1805"/>
      <c r="H68" s="1805"/>
      <c r="I68" s="1804"/>
      <c r="J68" s="1718"/>
      <c r="K68" s="1803"/>
      <c r="L68" s="1802" t="s">
        <v>389</v>
      </c>
      <c r="M68" s="2057" t="s">
        <v>1343</v>
      </c>
      <c r="N68" s="2057" t="s">
        <v>1070</v>
      </c>
      <c r="O68" s="1800"/>
      <c r="P68" s="1689"/>
      <c r="Q68" s="2056"/>
      <c r="R68" s="1802" t="s">
        <v>1340</v>
      </c>
      <c r="S68" s="1801" t="s">
        <v>1343</v>
      </c>
      <c r="T68" s="1801" t="s">
        <v>1070</v>
      </c>
      <c r="U68" s="2056"/>
      <c r="V68" s="1689"/>
      <c r="W68" s="2049" t="s">
        <v>1082</v>
      </c>
      <c r="X68" s="2053" t="s">
        <v>357</v>
      </c>
      <c r="Y68" s="1788"/>
      <c r="Z68" s="1754"/>
      <c r="AA68" s="1754"/>
      <c r="AB68" s="1754"/>
      <c r="AC68" s="1754"/>
      <c r="AD68" s="1754"/>
      <c r="AE68" s="1753"/>
    </row>
    <row r="69" spans="1:31" s="1658" customFormat="1" ht="15.75">
      <c r="A69" s="1736"/>
      <c r="B69" s="1735"/>
      <c r="C69" s="1794"/>
      <c r="D69" s="1794"/>
      <c r="E69" s="1794"/>
      <c r="F69" s="1762"/>
      <c r="G69" s="1762"/>
      <c r="H69" s="1762"/>
      <c r="I69" s="1793"/>
      <c r="K69" s="1750" t="s">
        <v>1082</v>
      </c>
      <c r="L69" s="1791">
        <f>C46</f>
        <v>93.885500000000008</v>
      </c>
      <c r="M69" s="3124" t="s">
        <v>356</v>
      </c>
      <c r="N69" s="3124"/>
      <c r="O69" s="1747" t="s">
        <v>347</v>
      </c>
      <c r="P69" s="1689"/>
      <c r="Q69" s="2050" t="s">
        <v>296</v>
      </c>
      <c r="R69" s="1758">
        <f>C46</f>
        <v>93.885500000000008</v>
      </c>
      <c r="S69" s="3054" t="s">
        <v>356</v>
      </c>
      <c r="T69" s="3055"/>
      <c r="U69" s="1747" t="s">
        <v>347</v>
      </c>
      <c r="V69" s="1718"/>
      <c r="W69" s="2049" t="s">
        <v>1042</v>
      </c>
      <c r="X69" s="2053" t="s">
        <v>355</v>
      </c>
      <c r="Y69" s="1788"/>
      <c r="Z69" s="1787"/>
      <c r="AA69" s="1787"/>
      <c r="AB69" s="1787"/>
      <c r="AC69" s="1787"/>
      <c r="AD69" s="1787"/>
      <c r="AE69" s="1753"/>
    </row>
    <row r="70" spans="1:31" s="1658" customFormat="1" ht="15.75">
      <c r="A70" s="1736"/>
      <c r="B70" s="1735"/>
      <c r="C70" s="1701" t="s">
        <v>389</v>
      </c>
      <c r="D70" s="1700" t="s">
        <v>1069</v>
      </c>
      <c r="E70" s="1699" t="s">
        <v>1070</v>
      </c>
      <c r="F70" s="1762"/>
      <c r="G70" s="1792"/>
      <c r="H70" s="1792"/>
      <c r="I70" s="1725"/>
      <c r="K70" s="1750" t="s">
        <v>1042</v>
      </c>
      <c r="L70" s="1791">
        <f>C47</f>
        <v>0</v>
      </c>
      <c r="M70" s="3124" t="s">
        <v>354</v>
      </c>
      <c r="N70" s="3124"/>
      <c r="O70" s="1747" t="s">
        <v>347</v>
      </c>
      <c r="P70" s="1689"/>
      <c r="Q70" s="2050" t="s">
        <v>295</v>
      </c>
      <c r="R70" s="1790">
        <f>C47</f>
        <v>0</v>
      </c>
      <c r="S70" s="3054" t="s">
        <v>354</v>
      </c>
      <c r="T70" s="3055"/>
      <c r="U70" s="1747" t="s">
        <v>347</v>
      </c>
      <c r="V70" s="1689"/>
      <c r="W70" s="2049" t="s">
        <v>1044</v>
      </c>
      <c r="X70" s="2055" t="s">
        <v>1671</v>
      </c>
      <c r="Y70" s="1788"/>
      <c r="Z70" s="1787"/>
      <c r="AA70" s="1787"/>
      <c r="AB70" s="1787"/>
      <c r="AC70" s="1787"/>
      <c r="AD70" s="1787"/>
      <c r="AE70" s="1753"/>
    </row>
    <row r="71" spans="1:31" s="1658" customFormat="1" ht="15.75">
      <c r="A71" s="1785" t="s">
        <v>294</v>
      </c>
      <c r="B71" s="1701" t="s">
        <v>293</v>
      </c>
      <c r="C71" s="1784">
        <f>L73</f>
        <v>9.3885500000000004</v>
      </c>
      <c r="D71" s="1783">
        <f>M73</f>
        <v>2.8165650000000002</v>
      </c>
      <c r="E71" s="1782">
        <f>N73</f>
        <v>28.165650000000003</v>
      </c>
      <c r="F71" s="1762"/>
      <c r="G71" s="1762"/>
      <c r="H71" s="1762"/>
      <c r="I71" s="1725"/>
      <c r="K71" s="1750" t="s">
        <v>1052</v>
      </c>
      <c r="L71" s="1778">
        <v>0.2</v>
      </c>
      <c r="M71" s="1777">
        <v>0.05</v>
      </c>
      <c r="N71" s="1777">
        <v>0.5</v>
      </c>
      <c r="O71" s="1747"/>
      <c r="P71" s="1689"/>
      <c r="Q71" s="2050" t="s">
        <v>292</v>
      </c>
      <c r="R71" s="1758">
        <f>C48</f>
        <v>99.242246799999975</v>
      </c>
      <c r="S71" s="3054" t="s">
        <v>351</v>
      </c>
      <c r="T71" s="3055"/>
      <c r="U71" s="1747" t="s">
        <v>347</v>
      </c>
      <c r="V71" s="1689"/>
      <c r="W71" s="2049" t="s">
        <v>1045</v>
      </c>
      <c r="X71" s="3123" t="s">
        <v>1672</v>
      </c>
      <c r="Y71" s="3082"/>
      <c r="Z71" s="3082"/>
      <c r="AA71" s="3082"/>
      <c r="AB71" s="3082"/>
      <c r="AC71" s="3082"/>
      <c r="AD71" s="3082"/>
      <c r="AE71" s="3083"/>
    </row>
    <row r="72" spans="1:31" s="1658" customFormat="1" ht="15.75">
      <c r="A72" s="1785" t="s">
        <v>291</v>
      </c>
      <c r="B72" s="1701" t="s">
        <v>290</v>
      </c>
      <c r="C72" s="1784">
        <f>R74</f>
        <v>57.938324039999991</v>
      </c>
      <c r="D72" s="1783">
        <f>S74</f>
        <v>19.31277468</v>
      </c>
      <c r="E72" s="1782">
        <f>T74</f>
        <v>154.50219744</v>
      </c>
      <c r="F72" s="1762"/>
      <c r="G72" s="1762"/>
      <c r="H72" s="1762"/>
      <c r="I72" s="1725"/>
      <c r="K72" s="1750" t="s">
        <v>1053</v>
      </c>
      <c r="L72" s="1778">
        <v>0.1</v>
      </c>
      <c r="M72" s="1777">
        <v>0.03</v>
      </c>
      <c r="N72" s="1777">
        <v>0.3</v>
      </c>
      <c r="O72" s="1747"/>
      <c r="P72" s="1689"/>
      <c r="Q72" s="2050" t="s">
        <v>289</v>
      </c>
      <c r="R72" s="1758">
        <f>C49</f>
        <v>0</v>
      </c>
      <c r="S72" s="3054" t="s">
        <v>348</v>
      </c>
      <c r="T72" s="3055"/>
      <c r="U72" s="1747" t="s">
        <v>347</v>
      </c>
      <c r="V72" s="1689"/>
      <c r="W72" s="2049"/>
      <c r="X72" s="3082"/>
      <c r="Y72" s="3082"/>
      <c r="Z72" s="3082"/>
      <c r="AA72" s="3082"/>
      <c r="AB72" s="3082"/>
      <c r="AC72" s="3082"/>
      <c r="AD72" s="3082"/>
      <c r="AE72" s="3083"/>
    </row>
    <row r="73" spans="1:31" s="1658" customFormat="1" ht="16.5" customHeight="1">
      <c r="A73" s="1736"/>
      <c r="B73" s="1735"/>
      <c r="C73" s="1735"/>
      <c r="D73" s="1781"/>
      <c r="E73" s="1781"/>
      <c r="F73" s="1735"/>
      <c r="G73" s="1735"/>
      <c r="H73" s="1735"/>
      <c r="I73" s="1725"/>
      <c r="K73" s="2054" t="s">
        <v>1277</v>
      </c>
      <c r="L73" s="1780">
        <f>($L69*L72+$L70*L71)</f>
        <v>9.3885500000000004</v>
      </c>
      <c r="M73" s="1771">
        <f>($L69*M72+$L70*M71)</f>
        <v>2.8165650000000002</v>
      </c>
      <c r="N73" s="1771">
        <f>($L69*N72+$L70*N71)</f>
        <v>28.165650000000003</v>
      </c>
      <c r="O73" s="1779" t="s">
        <v>346</v>
      </c>
      <c r="P73" s="1689"/>
      <c r="Q73" s="2050" t="s">
        <v>288</v>
      </c>
      <c r="R73" s="1778">
        <f>IF(C25="no",0,0.3)</f>
        <v>0.3</v>
      </c>
      <c r="S73" s="1777">
        <f>IF(C25="no",0,0.1)</f>
        <v>0.1</v>
      </c>
      <c r="T73" s="1777">
        <f>IF(C25="no",0,0.8)</f>
        <v>0.8</v>
      </c>
      <c r="U73" s="1747"/>
      <c r="V73" s="1689"/>
      <c r="W73" s="2049" t="s">
        <v>1055</v>
      </c>
      <c r="X73" s="2678" t="s">
        <v>1554</v>
      </c>
      <c r="Y73" s="1769"/>
      <c r="Z73" s="1754"/>
      <c r="AA73" s="1754"/>
      <c r="AB73" s="1754"/>
      <c r="AC73" s="1754"/>
      <c r="AD73" s="1754"/>
      <c r="AE73" s="1753"/>
    </row>
    <row r="74" spans="1:31" s="1658" customFormat="1" ht="18" customHeight="1">
      <c r="A74" s="1767" t="s">
        <v>287</v>
      </c>
      <c r="B74" s="1766" t="s">
        <v>1208</v>
      </c>
      <c r="C74" s="1775">
        <f>L76</f>
        <v>0.01</v>
      </c>
      <c r="D74" s="1764">
        <f>M76</f>
        <v>2E-3</v>
      </c>
      <c r="E74" s="1763">
        <f>N76</f>
        <v>0.05</v>
      </c>
      <c r="F74" s="1762"/>
      <c r="G74" s="1762"/>
      <c r="H74" s="1762"/>
      <c r="I74" s="1725"/>
      <c r="K74" s="1761"/>
      <c r="L74" s="1760"/>
      <c r="M74" s="1759"/>
      <c r="N74" s="1759"/>
      <c r="O74" s="1774"/>
      <c r="P74" s="1689"/>
      <c r="Q74" s="2052" t="s">
        <v>286</v>
      </c>
      <c r="R74" s="1772">
        <f>SUM($R69:$R72)*R73</f>
        <v>57.938324039999991</v>
      </c>
      <c r="S74" s="1771">
        <f>SUM($R69:$R72)*S73</f>
        <v>19.31277468</v>
      </c>
      <c r="T74" s="1771">
        <f>SUM($R69:$R72)*T73</f>
        <v>154.50219744</v>
      </c>
      <c r="U74" s="1770" t="s">
        <v>344</v>
      </c>
      <c r="V74" s="1689"/>
      <c r="W74" s="2049" t="s">
        <v>1052</v>
      </c>
      <c r="X74" s="2051" t="s">
        <v>343</v>
      </c>
      <c r="Y74" s="1754"/>
      <c r="Z74" s="1769"/>
      <c r="AA74" s="1769"/>
      <c r="AB74" s="1769"/>
      <c r="AC74" s="1769"/>
      <c r="AD74" s="1769"/>
      <c r="AE74" s="1768"/>
    </row>
    <row r="75" spans="1:31" s="1658" customFormat="1" ht="15.75">
      <c r="A75" s="1767" t="s">
        <v>285</v>
      </c>
      <c r="B75" s="1766" t="s">
        <v>1209</v>
      </c>
      <c r="C75" s="1765">
        <f>R76</f>
        <v>7.4999999999999997E-3</v>
      </c>
      <c r="D75" s="1764">
        <f>S76</f>
        <v>5.0000000000000001E-4</v>
      </c>
      <c r="E75" s="1763">
        <f>T76</f>
        <v>2.5000000000000001E-2</v>
      </c>
      <c r="F75" s="1762"/>
      <c r="G75" s="1762"/>
      <c r="H75" s="1762"/>
      <c r="I75" s="1725"/>
      <c r="K75" s="1761"/>
      <c r="L75" s="1760"/>
      <c r="M75" s="1759"/>
      <c r="N75" s="1759"/>
      <c r="O75" s="1747"/>
      <c r="P75" s="1689"/>
      <c r="Q75" s="2050"/>
      <c r="R75" s="1758"/>
      <c r="S75" s="1757"/>
      <c r="T75" s="1757"/>
      <c r="U75" s="1747"/>
      <c r="V75" s="1689"/>
      <c r="W75" s="2049" t="s">
        <v>1053</v>
      </c>
      <c r="X75" s="2048" t="s">
        <v>341</v>
      </c>
      <c r="Y75" s="1755"/>
      <c r="Z75" s="1754"/>
      <c r="AA75" s="1754"/>
      <c r="AB75" s="1754"/>
      <c r="AC75" s="1754"/>
      <c r="AD75" s="1754"/>
      <c r="AE75" s="1753"/>
    </row>
    <row r="76" spans="1:31" s="1658" customFormat="1" ht="15.75">
      <c r="A76" s="1736"/>
      <c r="B76" s="1735"/>
      <c r="C76" s="1735"/>
      <c r="D76" s="1735"/>
      <c r="E76" s="1735"/>
      <c r="F76" s="1735"/>
      <c r="G76" s="1735"/>
      <c r="H76" s="1735"/>
      <c r="I76" s="1725"/>
      <c r="K76" s="1750" t="s">
        <v>1054</v>
      </c>
      <c r="L76" s="1752">
        <v>0.01</v>
      </c>
      <c r="M76" s="1751">
        <v>2E-3</v>
      </c>
      <c r="N76" s="1751">
        <v>0.05</v>
      </c>
      <c r="O76" s="1747" t="s">
        <v>1344</v>
      </c>
      <c r="P76" s="1689"/>
      <c r="Q76" s="2050" t="s">
        <v>284</v>
      </c>
      <c r="R76" s="1749">
        <v>7.4999999999999997E-3</v>
      </c>
      <c r="S76" s="1748">
        <v>5.0000000000000001E-4</v>
      </c>
      <c r="T76" s="1748">
        <v>2.5000000000000001E-2</v>
      </c>
      <c r="U76" s="1747" t="s">
        <v>1344</v>
      </c>
      <c r="V76" s="1689"/>
      <c r="W76" s="2049"/>
      <c r="X76" s="2048"/>
      <c r="Y76" s="1755"/>
      <c r="Z76" s="1755"/>
      <c r="AA76" s="1755"/>
      <c r="AB76" s="1755"/>
      <c r="AC76" s="1755"/>
      <c r="AD76" s="1755"/>
      <c r="AE76" s="1753"/>
    </row>
    <row r="77" spans="1:31" s="1658" customFormat="1" ht="13.5" thickBot="1">
      <c r="A77" s="1736"/>
      <c r="B77" s="1735"/>
      <c r="C77" s="1735"/>
      <c r="D77" s="1735"/>
      <c r="E77" s="1735"/>
      <c r="F77" s="1735"/>
      <c r="G77" s="1735"/>
      <c r="H77" s="1735"/>
      <c r="I77" s="1725"/>
      <c r="K77" s="1742" t="s">
        <v>396</v>
      </c>
      <c r="L77" s="1741"/>
      <c r="M77" s="1741"/>
      <c r="N77" s="1741"/>
      <c r="O77" s="1740"/>
      <c r="P77" s="1718"/>
      <c r="Q77" s="1742" t="s">
        <v>396</v>
      </c>
      <c r="R77" s="1741"/>
      <c r="S77" s="2047"/>
      <c r="T77" s="2047"/>
      <c r="U77" s="2046"/>
      <c r="V77" s="1689"/>
      <c r="W77" s="1742"/>
      <c r="X77" s="1741"/>
      <c r="Y77" s="1741"/>
      <c r="Z77" s="1741"/>
      <c r="AA77" s="1741"/>
      <c r="AB77" s="1741"/>
      <c r="AC77" s="1741"/>
      <c r="AD77" s="1741"/>
      <c r="AE77" s="1740"/>
    </row>
    <row r="78" spans="1:31" s="1658" customFormat="1" ht="15.75">
      <c r="A78" s="1736"/>
      <c r="B78" s="1735"/>
      <c r="C78" s="3133" t="s">
        <v>391</v>
      </c>
      <c r="D78" s="3134"/>
      <c r="E78" s="3135"/>
      <c r="F78" s="3133" t="s">
        <v>390</v>
      </c>
      <c r="G78" s="3134"/>
      <c r="H78" s="3135"/>
      <c r="I78" s="1725"/>
      <c r="V78" s="1689"/>
      <c r="W78" s="1689"/>
      <c r="X78" s="1689"/>
      <c r="Y78" s="1689"/>
      <c r="Z78" s="1689"/>
      <c r="AA78" s="1689"/>
      <c r="AB78" s="1689"/>
      <c r="AC78" s="1689"/>
    </row>
    <row r="79" spans="1:31" s="1720" customFormat="1" ht="27">
      <c r="A79" s="1734" t="s">
        <v>395</v>
      </c>
      <c r="B79" s="1701" t="s">
        <v>394</v>
      </c>
      <c r="C79" s="2044">
        <f t="shared" ref="C79:E80" si="6">C71*C74</f>
        <v>9.3885500000000011E-2</v>
      </c>
      <c r="D79" s="2045">
        <f t="shared" si="6"/>
        <v>5.6331300000000009E-3</v>
      </c>
      <c r="E79" s="2043">
        <f t="shared" si="6"/>
        <v>1.4082825000000003</v>
      </c>
      <c r="F79" s="2044">
        <f t="shared" ref="F79:H80" si="7">C79*44/28</f>
        <v>0.14753435714285715</v>
      </c>
      <c r="G79" s="2043">
        <f t="shared" si="7"/>
        <v>8.8520614285714297E-3</v>
      </c>
      <c r="H79" s="2043">
        <f t="shared" si="7"/>
        <v>2.2130153571428575</v>
      </c>
      <c r="I79" s="1725"/>
      <c r="J79" s="1718"/>
      <c r="V79" s="1718"/>
      <c r="W79" s="1718"/>
      <c r="X79" s="1718"/>
      <c r="Y79" s="1718"/>
      <c r="Z79" s="1718"/>
      <c r="AA79" s="1718"/>
      <c r="AB79" s="1718"/>
      <c r="AC79" s="1718"/>
    </row>
    <row r="80" spans="1:31" s="1720" customFormat="1" ht="29.25" customHeight="1">
      <c r="A80" s="1731" t="s">
        <v>393</v>
      </c>
      <c r="B80" s="1701" t="s">
        <v>392</v>
      </c>
      <c r="C80" s="2044">
        <f t="shared" si="6"/>
        <v>0.43453743029999992</v>
      </c>
      <c r="D80" s="2045">
        <f t="shared" si="6"/>
        <v>9.656387340000001E-3</v>
      </c>
      <c r="E80" s="2043">
        <f t="shared" si="6"/>
        <v>3.8625549360000004</v>
      </c>
      <c r="F80" s="2044">
        <f t="shared" si="7"/>
        <v>0.6828445333285712</v>
      </c>
      <c r="G80" s="2043">
        <f t="shared" si="7"/>
        <v>1.5174322962857145E-2</v>
      </c>
      <c r="H80" s="2043">
        <f t="shared" si="7"/>
        <v>6.0697291851428572</v>
      </c>
      <c r="I80" s="1725"/>
      <c r="J80" s="1718"/>
      <c r="V80" s="1718"/>
      <c r="W80" s="1718"/>
      <c r="X80" s="1718"/>
      <c r="Y80" s="1718"/>
      <c r="Z80" s="1718"/>
      <c r="AA80" s="1718"/>
      <c r="AB80" s="1718"/>
      <c r="AC80" s="1718"/>
    </row>
    <row r="81" spans="1:29" s="1720" customFormat="1" ht="13.5" thickBot="1">
      <c r="A81" s="1724"/>
      <c r="B81" s="1723"/>
      <c r="C81" s="1722"/>
      <c r="D81" s="1672"/>
      <c r="E81" s="1672"/>
      <c r="F81" s="1722"/>
      <c r="G81" s="1672"/>
      <c r="H81" s="1672"/>
      <c r="I81" s="1721"/>
      <c r="J81" s="1718"/>
      <c r="K81" s="1718"/>
      <c r="L81" s="1718"/>
      <c r="M81" s="1718"/>
      <c r="N81" s="1718"/>
      <c r="O81" s="1718"/>
      <c r="P81" s="1718"/>
      <c r="Q81" s="1718"/>
      <c r="R81" s="1718"/>
      <c r="S81" s="1718"/>
      <c r="T81" s="1718"/>
      <c r="U81" s="1718"/>
      <c r="V81" s="1718"/>
      <c r="W81" s="1718"/>
      <c r="X81" s="1718"/>
      <c r="Y81" s="1718"/>
      <c r="Z81" s="1718"/>
      <c r="AA81" s="1718"/>
      <c r="AB81" s="1718"/>
      <c r="AC81" s="1718"/>
    </row>
    <row r="82" spans="1:29" s="1658" customFormat="1">
      <c r="A82" s="1719"/>
      <c r="B82" s="1719"/>
      <c r="C82" s="1718"/>
      <c r="D82" s="1718"/>
      <c r="E82" s="1718"/>
      <c r="F82" s="1718"/>
      <c r="G82" s="1718"/>
      <c r="H82" s="1718"/>
      <c r="J82" s="1689"/>
      <c r="K82" s="1689"/>
      <c r="L82" s="1689"/>
      <c r="M82" s="1689"/>
      <c r="N82" s="1689"/>
      <c r="O82" s="1689"/>
      <c r="P82" s="1689"/>
      <c r="Q82" s="1689"/>
      <c r="R82" s="1689"/>
      <c r="S82" s="1689"/>
      <c r="T82" s="1689"/>
      <c r="U82" s="1689"/>
      <c r="V82" s="1689"/>
      <c r="W82" s="1689"/>
      <c r="X82" s="1689"/>
      <c r="Y82" s="1689"/>
      <c r="Z82" s="1689"/>
      <c r="AA82" s="1689"/>
      <c r="AB82" s="1689"/>
      <c r="AC82" s="1689"/>
    </row>
    <row r="83" spans="1:29" s="1658" customFormat="1" ht="17.25" customHeight="1">
      <c r="A83" s="2042" t="s">
        <v>1688</v>
      </c>
      <c r="B83" s="2041"/>
      <c r="C83" s="2040"/>
      <c r="D83" s="2040"/>
      <c r="E83" s="2040"/>
      <c r="F83" s="2039"/>
      <c r="G83" s="2038"/>
      <c r="H83" s="2037"/>
      <c r="I83" s="2036"/>
      <c r="J83" s="1689"/>
      <c r="K83" s="1689"/>
      <c r="L83" s="1689"/>
      <c r="M83" s="1689"/>
      <c r="N83" s="1689"/>
      <c r="O83" s="1689"/>
      <c r="P83" s="1689"/>
      <c r="Q83" s="1689"/>
      <c r="R83" s="1689"/>
      <c r="S83" s="1689"/>
      <c r="T83" s="1689"/>
      <c r="U83" s="1689"/>
      <c r="V83" s="1689"/>
      <c r="W83" s="1689"/>
      <c r="X83" s="1689"/>
      <c r="Y83" s="1689"/>
      <c r="Z83" s="1689"/>
      <c r="AA83" s="1689"/>
      <c r="AB83" s="1689"/>
      <c r="AC83" s="1689"/>
    </row>
    <row r="84" spans="1:29" s="1658" customFormat="1" ht="20.25" customHeight="1">
      <c r="A84" s="2035"/>
      <c r="B84" s="1709"/>
      <c r="C84" s="1708"/>
      <c r="D84" s="1708"/>
      <c r="E84" s="1708"/>
      <c r="F84" s="1708"/>
      <c r="G84" s="1708"/>
      <c r="H84" s="1708"/>
      <c r="I84" s="2034"/>
      <c r="J84" s="1689"/>
      <c r="K84" s="1689"/>
      <c r="L84" s="1689"/>
      <c r="M84" s="1689"/>
      <c r="N84" s="1689"/>
      <c r="O84" s="1689"/>
      <c r="P84" s="1689"/>
      <c r="Q84" s="1689"/>
      <c r="R84" s="1689"/>
      <c r="S84" s="1689"/>
      <c r="T84" s="1689"/>
      <c r="U84" s="1689"/>
      <c r="V84" s="1689"/>
      <c r="W84" s="1689"/>
      <c r="X84" s="1689"/>
      <c r="Y84" s="1689"/>
      <c r="Z84" s="1689"/>
      <c r="AA84" s="1689"/>
      <c r="AB84" s="1689"/>
      <c r="AC84" s="1689"/>
    </row>
    <row r="85" spans="1:29" s="1658" customFormat="1" ht="22.5" customHeight="1">
      <c r="A85" s="2033"/>
      <c r="B85" s="1705"/>
      <c r="C85" s="3076" t="s">
        <v>391</v>
      </c>
      <c r="D85" s="3079"/>
      <c r="E85" s="3080"/>
      <c r="F85" s="3076" t="s">
        <v>390</v>
      </c>
      <c r="G85" s="3079"/>
      <c r="H85" s="3080"/>
      <c r="I85" s="2032"/>
      <c r="J85" s="1689"/>
      <c r="K85" s="1689"/>
      <c r="L85" s="1689"/>
      <c r="M85" s="1689"/>
      <c r="N85" s="1689"/>
      <c r="O85" s="1689"/>
      <c r="P85" s="1689"/>
      <c r="Q85" s="1689"/>
      <c r="R85" s="1689"/>
      <c r="S85" s="1689"/>
      <c r="T85" s="1689"/>
      <c r="U85" s="1689"/>
      <c r="V85" s="1689"/>
      <c r="W85" s="1689"/>
      <c r="X85" s="1689"/>
      <c r="Y85" s="1689"/>
      <c r="Z85" s="1689"/>
      <c r="AA85" s="1689"/>
      <c r="AB85" s="1689"/>
      <c r="AC85" s="1689"/>
    </row>
    <row r="86" spans="1:29" s="1658" customFormat="1" ht="22.5" customHeight="1">
      <c r="A86" s="2031"/>
      <c r="B86" s="1702"/>
      <c r="C86" s="1701" t="s">
        <v>389</v>
      </c>
      <c r="D86" s="1700" t="s">
        <v>1069</v>
      </c>
      <c r="E86" s="1699" t="s">
        <v>1070</v>
      </c>
      <c r="F86" s="1701" t="s">
        <v>389</v>
      </c>
      <c r="G86" s="1697" t="s">
        <v>1069</v>
      </c>
      <c r="H86" s="1696" t="s">
        <v>1070</v>
      </c>
      <c r="I86" s="2025"/>
      <c r="J86" s="1689"/>
      <c r="K86" s="1689"/>
      <c r="L86" s="1689"/>
      <c r="M86" s="1689"/>
      <c r="N86" s="1689"/>
      <c r="O86" s="1689"/>
      <c r="P86" s="1689"/>
      <c r="Q86" s="1689"/>
      <c r="R86" s="1689"/>
      <c r="S86" s="1689"/>
      <c r="T86" s="1689"/>
      <c r="U86" s="1689"/>
      <c r="V86" s="1689"/>
      <c r="W86" s="1689"/>
      <c r="X86" s="1689"/>
      <c r="Y86" s="1689"/>
      <c r="Z86" s="1689"/>
      <c r="AA86" s="1689"/>
      <c r="AB86" s="1689"/>
      <c r="AC86" s="1689"/>
    </row>
    <row r="87" spans="1:29" s="1658" customFormat="1" ht="14.25" customHeight="1">
      <c r="A87" s="1681"/>
      <c r="B87" s="1678" t="s">
        <v>388</v>
      </c>
      <c r="C87" s="1695">
        <f>SUM(C64,C79,C80)</f>
        <v>2.4597003982999994</v>
      </c>
      <c r="D87" s="1694">
        <f>SUM(D64,D79,D80)</f>
        <v>0.59467275773999995</v>
      </c>
      <c r="E87" s="1693">
        <f>SUM(E64,E79,E80)</f>
        <v>11.064669840000001</v>
      </c>
      <c r="F87" s="1695">
        <f t="shared" ref="F87:H89" si="8">C87*44/28</f>
        <v>3.8652434830428564</v>
      </c>
      <c r="G87" s="1694">
        <f t="shared" si="8"/>
        <v>0.93448576216285706</v>
      </c>
      <c r="H87" s="1693">
        <f t="shared" si="8"/>
        <v>17.387338320000001</v>
      </c>
      <c r="I87" s="2025"/>
      <c r="J87" s="1689"/>
      <c r="K87" s="1689"/>
      <c r="L87" s="1689"/>
      <c r="M87" s="1689"/>
      <c r="N87" s="1689"/>
      <c r="O87" s="1689"/>
      <c r="P87" s="1689"/>
      <c r="Q87" s="1689"/>
      <c r="R87" s="1689"/>
      <c r="S87" s="1689"/>
      <c r="T87" s="1689"/>
      <c r="U87" s="1689"/>
      <c r="V87" s="1689"/>
      <c r="W87" s="1689"/>
      <c r="X87" s="1689"/>
      <c r="Y87" s="1689"/>
      <c r="Z87" s="1689"/>
      <c r="AA87" s="1689"/>
      <c r="AB87" s="1689"/>
      <c r="AC87" s="1689"/>
    </row>
    <row r="88" spans="1:29" s="1688" customFormat="1">
      <c r="A88" s="1681"/>
      <c r="B88" s="1678" t="s">
        <v>1550</v>
      </c>
      <c r="C88" s="1692">
        <f>C87/C22*1000</f>
        <v>0.80191060486421262</v>
      </c>
      <c r="D88" s="1691">
        <f>D87/C22*1000</f>
        <v>0.1938749902976559</v>
      </c>
      <c r="E88" s="1690">
        <f>E87/C22*1000</f>
        <v>3.6072995272715414</v>
      </c>
      <c r="F88" s="1692">
        <f t="shared" si="8"/>
        <v>1.2601452362151913</v>
      </c>
      <c r="G88" s="1691">
        <f t="shared" si="8"/>
        <v>0.30466069903917353</v>
      </c>
      <c r="H88" s="1690">
        <f t="shared" si="8"/>
        <v>5.6686135428552786</v>
      </c>
      <c r="I88" s="2025"/>
      <c r="J88" s="2030"/>
      <c r="K88" s="2030"/>
      <c r="L88" s="2030"/>
      <c r="M88" s="2030"/>
      <c r="N88" s="2030"/>
      <c r="O88" s="2030"/>
      <c r="P88" s="2030"/>
      <c r="Q88" s="2030"/>
      <c r="R88" s="2030"/>
      <c r="S88" s="2030"/>
      <c r="T88" s="2030"/>
      <c r="U88" s="2030"/>
      <c r="V88" s="2030"/>
      <c r="W88" s="2030"/>
      <c r="X88" s="2030"/>
      <c r="Y88" s="2030"/>
      <c r="Z88" s="2030"/>
      <c r="AA88" s="2030"/>
      <c r="AB88" s="2030"/>
      <c r="AC88" s="2030"/>
    </row>
    <row r="89" spans="1:29">
      <c r="A89" s="1681"/>
      <c r="B89" s="1678" t="s">
        <v>387</v>
      </c>
      <c r="C89" s="1687">
        <f>C88/VLOOKUP(C19,U44:AF55,12,FALSE)</f>
        <v>4.9196969623571327E-2</v>
      </c>
      <c r="D89" s="1686">
        <f>D88/VLOOKUP(C19,U44:AF51,12,FALSE)</f>
        <v>1.189417118390527E-2</v>
      </c>
      <c r="E89" s="1685">
        <f>E88/VLOOKUP(C19,U44:AF51,12,FALSE)</f>
        <v>0.22130671946451172</v>
      </c>
      <c r="F89" s="1684">
        <f t="shared" si="8"/>
        <v>7.7309523694183521E-2</v>
      </c>
      <c r="G89" s="1683">
        <f t="shared" si="8"/>
        <v>1.8690840431851135E-2</v>
      </c>
      <c r="H89" s="1682">
        <f t="shared" si="8"/>
        <v>0.34776770201566126</v>
      </c>
      <c r="I89" s="2025"/>
    </row>
    <row r="90" spans="1:29">
      <c r="A90" s="2029"/>
      <c r="B90" s="1678"/>
      <c r="C90" s="1678"/>
      <c r="D90" s="1678"/>
      <c r="E90" s="1678"/>
      <c r="F90" s="1678"/>
      <c r="G90" s="1678"/>
      <c r="H90" s="1678"/>
      <c r="I90" s="2025"/>
    </row>
    <row r="91" spans="1:29" ht="14.25">
      <c r="A91" s="1680" t="s">
        <v>386</v>
      </c>
      <c r="B91" s="1679"/>
      <c r="C91" s="1678"/>
      <c r="D91" s="1678"/>
      <c r="E91" s="1678"/>
      <c r="F91" s="2028">
        <f>F87</f>
        <v>3.8652434830428564</v>
      </c>
      <c r="G91" s="2027" t="s">
        <v>385</v>
      </c>
      <c r="H91" s="2026"/>
      <c r="I91" s="2025"/>
    </row>
    <row r="92" spans="1:29">
      <c r="A92" s="2024"/>
      <c r="B92" s="2023"/>
      <c r="C92" s="2023"/>
      <c r="D92" s="2023"/>
      <c r="E92" s="2023"/>
      <c r="F92" s="2023"/>
      <c r="G92" s="2023"/>
      <c r="H92" s="2023"/>
      <c r="I92" s="2022"/>
    </row>
    <row r="93" spans="1:29">
      <c r="F93" s="2021"/>
    </row>
    <row r="94" spans="1:29">
      <c r="A94" s="1666"/>
      <c r="B94" s="1666"/>
      <c r="C94" s="1666"/>
      <c r="D94" s="1666"/>
      <c r="E94" s="1666"/>
      <c r="F94" s="1666"/>
      <c r="G94" s="1666"/>
      <c r="H94" s="1666"/>
      <c r="I94" s="1666"/>
    </row>
  </sheetData>
  <mergeCells count="44">
    <mergeCell ref="C78:E78"/>
    <mergeCell ref="F78:H78"/>
    <mergeCell ref="C85:E85"/>
    <mergeCell ref="F85:H85"/>
    <mergeCell ref="C59:E59"/>
    <mergeCell ref="F59:H59"/>
    <mergeCell ref="C62:E62"/>
    <mergeCell ref="F62:H62"/>
    <mergeCell ref="E29:I29"/>
    <mergeCell ref="E30:I30"/>
    <mergeCell ref="C32:I32"/>
    <mergeCell ref="B42:I42"/>
    <mergeCell ref="A11:G11"/>
    <mergeCell ref="A12:G12"/>
    <mergeCell ref="A13:G13"/>
    <mergeCell ref="A14:G14"/>
    <mergeCell ref="E25:I25"/>
    <mergeCell ref="A4:I4"/>
    <mergeCell ref="A7:I7"/>
    <mergeCell ref="A10:I10"/>
    <mergeCell ref="F19:G19"/>
    <mergeCell ref="E28:I28"/>
    <mergeCell ref="A67:B67"/>
    <mergeCell ref="L43:M43"/>
    <mergeCell ref="Q43:R43"/>
    <mergeCell ref="V58:X58"/>
    <mergeCell ref="Z58:AB59"/>
    <mergeCell ref="Z60:AB60"/>
    <mergeCell ref="Z62:AB62"/>
    <mergeCell ref="Z63:AB63"/>
    <mergeCell ref="Y58:Y59"/>
    <mergeCell ref="C54:E54"/>
    <mergeCell ref="F54:H54"/>
    <mergeCell ref="V61:X61"/>
    <mergeCell ref="V62:X62"/>
    <mergeCell ref="AC63:AE63"/>
    <mergeCell ref="X71:AE72"/>
    <mergeCell ref="M69:N69"/>
    <mergeCell ref="M70:N70"/>
    <mergeCell ref="L67:M67"/>
    <mergeCell ref="S69:T69"/>
    <mergeCell ref="S70:T70"/>
    <mergeCell ref="S71:T71"/>
    <mergeCell ref="S72:T72"/>
  </mergeCells>
  <phoneticPr fontId="184" type="noConversion"/>
  <dataValidations count="3">
    <dataValidation type="list" allowBlank="1" showInputMessage="1" showErrorMessage="1" sqref="C25 WVK983065 WLO983065 WBS983065 VRW983065 VIA983065 UYE983065 UOI983065 UEM983065 TUQ983065 TKU983065 TAY983065 SRC983065 SHG983065 RXK983065 RNO983065 RDS983065 QTW983065 QKA983065 QAE983065 PQI983065 PGM983065 OWQ983065 OMU983065 OCY983065 NTC983065 NJG983065 MZK983065 MPO983065 MFS983065 LVW983065 LMA983065 LCE983065 KSI983065 KIM983065 JYQ983065 JOU983065 JEY983065 IVC983065 ILG983065 IBK983065 HRO983065 HHS983065 GXW983065 GOA983065 GEE983065 FUI983065 FKM983065 FAQ983065 EQU983065 EGY983065 DXC983065 DNG983065 DDK983065 CTO983065 CJS983065 BZW983065 BQA983065 BGE983065 AWI983065 AMM983065 ACQ983065 SU983065 IY983065 C983065 WVK917529 WLO917529 WBS917529 VRW917529 VIA917529 UYE917529 UOI917529 UEM917529 TUQ917529 TKU917529 TAY917529 SRC917529 SHG917529 RXK917529 RNO917529 RDS917529 QTW917529 QKA917529 QAE917529 PQI917529 PGM917529 OWQ917529 OMU917529 OCY917529 NTC917529 NJG917529 MZK917529 MPO917529 MFS917529 LVW917529 LMA917529 LCE917529 KSI917529 KIM917529 JYQ917529 JOU917529 JEY917529 IVC917529 ILG917529 IBK917529 HRO917529 HHS917529 GXW917529 GOA917529 GEE917529 FUI917529 FKM917529 FAQ917529 EQU917529 EGY917529 DXC917529 DNG917529 DDK917529 CTO917529 CJS917529 BZW917529 BQA917529 BGE917529 AWI917529 AMM917529 ACQ917529 SU917529 IY917529 C917529 WVK851993 WLO851993 WBS851993 VRW851993 VIA851993 UYE851993 UOI851993 UEM851993 TUQ851993 TKU851993 TAY851993 SRC851993 SHG851993 RXK851993 RNO851993 RDS851993 QTW851993 QKA851993 QAE851993 PQI851993 PGM851993 OWQ851993 OMU851993 OCY851993 NTC851993 NJG851993 MZK851993 MPO851993 MFS851993 LVW851993 LMA851993 LCE851993 KSI851993 KIM851993 JYQ851993 JOU851993 JEY851993 IVC851993 ILG851993 IBK851993 HRO851993 HHS851993 GXW851993 GOA851993 GEE851993 FUI851993 FKM851993 FAQ851993 EQU851993 EGY851993 DXC851993 DNG851993 DDK851993 CTO851993 CJS851993 BZW851993 BQA851993 BGE851993 AWI851993 AMM851993 ACQ851993 SU851993 IY851993 C851993 WVK786457 WLO786457 WBS786457 VRW786457 VIA786457 UYE786457 UOI786457 UEM786457 TUQ786457 TKU786457 TAY786457 SRC786457 SHG786457 RXK786457 RNO786457 RDS786457 QTW786457 QKA786457 QAE786457 PQI786457 PGM786457 OWQ786457 OMU786457 OCY786457 NTC786457 NJG786457 MZK786457 MPO786457 MFS786457 LVW786457 LMA786457 LCE786457 KSI786457 KIM786457 JYQ786457 JOU786457 JEY786457 IVC786457 ILG786457 IBK786457 HRO786457 HHS786457 GXW786457 GOA786457 GEE786457 FUI786457 FKM786457 FAQ786457 EQU786457 EGY786457 DXC786457 DNG786457 DDK786457 CTO786457 CJS786457 BZW786457 BQA786457 BGE786457 AWI786457 AMM786457 ACQ786457 SU786457 IY786457 C786457 WVK720921 WLO720921 WBS720921 VRW720921 VIA720921 UYE720921 UOI720921 UEM720921 TUQ720921 TKU720921 TAY720921 SRC720921 SHG720921 RXK720921 RNO720921 RDS720921 QTW720921 QKA720921 QAE720921 PQI720921 PGM720921 OWQ720921 OMU720921 OCY720921 NTC720921 NJG720921 MZK720921 MPO720921 MFS720921 LVW720921 LMA720921 LCE720921 KSI720921 KIM720921 JYQ720921 JOU720921 JEY720921 IVC720921 ILG720921 IBK720921 HRO720921 HHS720921 GXW720921 GOA720921 GEE720921 FUI720921 FKM720921 FAQ720921 EQU720921 EGY720921 DXC720921 DNG720921 DDK720921 CTO720921 CJS720921 BZW720921 BQA720921 BGE720921 AWI720921 AMM720921 ACQ720921 SU720921 IY720921 C720921 WVK655385 WLO655385 WBS655385 VRW655385 VIA655385 UYE655385 UOI655385 UEM655385 TUQ655385 TKU655385 TAY655385 SRC655385 SHG655385 RXK655385 RNO655385 RDS655385 QTW655385 QKA655385 QAE655385 PQI655385 PGM655385 OWQ655385 OMU655385 OCY655385 NTC655385 NJG655385 MZK655385 MPO655385 MFS655385 LVW655385 LMA655385 LCE655385 KSI655385 KIM655385 JYQ655385 JOU655385 JEY655385 IVC655385 ILG655385 IBK655385 HRO655385 HHS655385 GXW655385 GOA655385 GEE655385 FUI655385 FKM655385 FAQ655385 EQU655385 EGY655385 DXC655385 DNG655385 DDK655385 CTO655385 CJS655385 BZW655385 BQA655385 BGE655385 AWI655385 AMM655385 ACQ655385 SU655385 IY655385 C655385 WVK589849 WLO589849 WBS589849 VRW589849 VIA589849 UYE589849 UOI589849 UEM589849 TUQ589849 TKU589849 TAY589849 SRC589849 SHG589849 RXK589849 RNO589849 RDS589849 QTW589849 QKA589849 QAE589849 PQI589849 PGM589849 OWQ589849 OMU589849 OCY589849 NTC589849 NJG589849 MZK589849 MPO589849 MFS589849 LVW589849 LMA589849 LCE589849 KSI589849 KIM589849 JYQ589849 JOU589849 JEY589849 IVC589849 ILG589849 IBK589849 HRO589849 HHS589849 GXW589849 GOA589849 GEE589849 FUI589849 FKM589849 FAQ589849 EQU589849 EGY589849 DXC589849 DNG589849 DDK589849 CTO589849 CJS589849 BZW589849 BQA589849 BGE589849 AWI589849 AMM589849 ACQ589849 SU589849 IY589849 C589849 WVK524313 WLO524313 WBS524313 VRW524313 VIA524313 UYE524313 UOI524313 UEM524313 TUQ524313 TKU524313 TAY524313 SRC524313 SHG524313 RXK524313 RNO524313 RDS524313 QTW524313 QKA524313 QAE524313 PQI524313 PGM524313 OWQ524313 OMU524313 OCY524313 NTC524313 NJG524313 MZK524313 MPO524313 MFS524313 LVW524313 LMA524313 LCE524313 KSI524313 KIM524313 JYQ524313 JOU524313 JEY524313 IVC524313 ILG524313 IBK524313 HRO524313 HHS524313 GXW524313 GOA524313 GEE524313 FUI524313 FKM524313 FAQ524313 EQU524313 EGY524313 DXC524313 DNG524313 DDK524313 CTO524313 CJS524313 BZW524313 BQA524313 BGE524313 AWI524313 AMM524313 ACQ524313 SU524313 IY524313 C524313 WVK458777 WLO458777 WBS458777 VRW458777 VIA458777 UYE458777 UOI458777 UEM458777 TUQ458777 TKU458777 TAY458777 SRC458777 SHG458777 RXK458777 RNO458777 RDS458777 QTW458777 QKA458777 QAE458777 PQI458777 PGM458777 OWQ458777 OMU458777 OCY458777 NTC458777 NJG458777 MZK458777 MPO458777 MFS458777 LVW458777 LMA458777 LCE458777 KSI458777 KIM458777 JYQ458777 JOU458777 JEY458777 IVC458777 ILG458777 IBK458777 HRO458777 HHS458777 GXW458777 GOA458777 GEE458777 FUI458777 FKM458777 FAQ458777 EQU458777 EGY458777 DXC458777 DNG458777 DDK458777 CTO458777 CJS458777 BZW458777 BQA458777 BGE458777 AWI458777 AMM458777 ACQ458777 SU458777 IY458777 C458777 WVK393241 WLO393241 WBS393241 VRW393241 VIA393241 UYE393241 UOI393241 UEM393241 TUQ393241 TKU393241 TAY393241 SRC393241 SHG393241 RXK393241 RNO393241 RDS393241 QTW393241 QKA393241 QAE393241 PQI393241 PGM393241 OWQ393241 OMU393241 OCY393241 NTC393241 NJG393241 MZK393241 MPO393241 MFS393241 LVW393241 LMA393241 LCE393241 KSI393241 KIM393241 JYQ393241 JOU393241 JEY393241 IVC393241 ILG393241 IBK393241 HRO393241 HHS393241 GXW393241 GOA393241 GEE393241 FUI393241 FKM393241 FAQ393241 EQU393241 EGY393241 DXC393241 DNG393241 DDK393241 CTO393241 CJS393241 BZW393241 BQA393241 BGE393241 AWI393241 AMM393241 ACQ393241 SU393241 IY393241 C393241 WVK327705 WLO327705 WBS327705 VRW327705 VIA327705 UYE327705 UOI327705 UEM327705 TUQ327705 TKU327705 TAY327705 SRC327705 SHG327705 RXK327705 RNO327705 RDS327705 QTW327705 QKA327705 QAE327705 PQI327705 PGM327705 OWQ327705 OMU327705 OCY327705 NTC327705 NJG327705 MZK327705 MPO327705 MFS327705 LVW327705 LMA327705 LCE327705 KSI327705 KIM327705 JYQ327705 JOU327705 JEY327705 IVC327705 ILG327705 IBK327705 HRO327705 HHS327705 GXW327705 GOA327705 GEE327705 FUI327705 FKM327705 FAQ327705 EQU327705 EGY327705 DXC327705 DNG327705 DDK327705 CTO327705 CJS327705 BZW327705 BQA327705 BGE327705 AWI327705 AMM327705 ACQ327705 SU327705 IY327705 C327705 WVK262169 WLO262169 WBS262169 VRW262169 VIA262169 UYE262169 UOI262169 UEM262169 TUQ262169 TKU262169 TAY262169 SRC262169 SHG262169 RXK262169 RNO262169 RDS262169 QTW262169 QKA262169 QAE262169 PQI262169 PGM262169 OWQ262169 OMU262169 OCY262169 NTC262169 NJG262169 MZK262169 MPO262169 MFS262169 LVW262169 LMA262169 LCE262169 KSI262169 KIM262169 JYQ262169 JOU262169 JEY262169 IVC262169 ILG262169 IBK262169 HRO262169 HHS262169 GXW262169 GOA262169 GEE262169 FUI262169 FKM262169 FAQ262169 EQU262169 EGY262169 DXC262169 DNG262169 DDK262169 CTO262169 CJS262169 BZW262169 BQA262169 BGE262169 AWI262169 AMM262169 ACQ262169 SU262169 IY262169 C262169 WVK196633 WLO196633 WBS196633 VRW196633 VIA196633 UYE196633 UOI196633 UEM196633 TUQ196633 TKU196633 TAY196633 SRC196633 SHG196633 RXK196633 RNO196633 RDS196633 QTW196633 QKA196633 QAE196633 PQI196633 PGM196633 OWQ196633 OMU196633 OCY196633 NTC196633 NJG196633 MZK196633 MPO196633 MFS196633 LVW196633 LMA196633 LCE196633 KSI196633 KIM196633 JYQ196633 JOU196633 JEY196633 IVC196633 ILG196633 IBK196633 HRO196633 HHS196633 GXW196633 GOA196633 GEE196633 FUI196633 FKM196633 FAQ196633 EQU196633 EGY196633 DXC196633 DNG196633 DDK196633 CTO196633 CJS196633 BZW196633 BQA196633 BGE196633 AWI196633 AMM196633 ACQ196633 SU196633 IY196633 C196633 WVK131097 WLO131097 WBS131097 VRW131097 VIA131097 UYE131097 UOI131097 UEM131097 TUQ131097 TKU131097 TAY131097 SRC131097 SHG131097 RXK131097 RNO131097 RDS131097 QTW131097 QKA131097 QAE131097 PQI131097 PGM131097 OWQ131097 OMU131097 OCY131097 NTC131097 NJG131097 MZK131097 MPO131097 MFS131097 LVW131097 LMA131097 LCE131097 KSI131097 KIM131097 JYQ131097 JOU131097 JEY131097 IVC131097 ILG131097 IBK131097 HRO131097 HHS131097 GXW131097 GOA131097 GEE131097 FUI131097 FKM131097 FAQ131097 EQU131097 EGY131097 DXC131097 DNG131097 DDK131097 CTO131097 CJS131097 BZW131097 BQA131097 BGE131097 AWI131097 AMM131097 ACQ131097 SU131097 IY131097 C131097 WVK65561 WLO65561 WBS65561 VRW65561 VIA65561 UYE65561 UOI65561 UEM65561 TUQ65561 TKU65561 TAY65561 SRC65561 SHG65561 RXK65561 RNO65561 RDS65561 QTW65561 QKA65561 QAE65561 PQI65561 PGM65561 OWQ65561 OMU65561 OCY65561 NTC65561 NJG65561 MZK65561 MPO65561 MFS65561 LVW65561 LMA65561 LCE65561 KSI65561 KIM65561 JYQ65561 JOU65561 JEY65561 IVC65561 ILG65561 IBK65561 HRO65561 HHS65561 GXW65561 GOA65561 GEE65561 FUI65561 FKM65561 FAQ65561 EQU65561 EGY65561 DXC65561 DNG65561 DDK65561 CTO65561 CJS65561 BZW65561 BQA65561 BGE65561 AWI65561 AMM65561 ACQ65561 SU65561 IY65561 C65561 WVK25 WLO25 WBS25 VRW25 VIA25 UYE25 UOI25 UEM25 TUQ25 TKU25 TAY25 SRC25 SHG25 RXK25 RNO25 RDS25 QTW25 QKA25 QAE25 PQI25 PGM25 OWQ25 OMU25 OCY25 NTC25 NJG25 MZK25 MPO25 MFS25 LVW25 LMA25 LCE25 KSI25 KIM25 JYQ25 JOU25 JEY25 IVC25 ILG25 IBK25 HRO25 HHS25 GXW25 GOA25 GEE25 FUI25 FKM25 FAQ25 EQU25 EGY25 DXC25 DNG25 DDK25 CTO25 CJS25 BZW25 BQA25 BGE25 AWI25 AMM25 ACQ25 SU25 IY25">
      <formula1>$K$25:$M$25</formula1>
    </dataValidation>
    <dataValidation type="list" allowBlank="1" showInputMessage="1" showErrorMessage="1" sqref="C19 WVK983059 WLO983059 WBS983059 VRW983059 VIA983059 UYE983059 UOI983059 UEM983059 TUQ983059 TKU983059 TAY983059 SRC983059 SHG983059 RXK983059 RNO983059 RDS983059 QTW983059 QKA983059 QAE983059 PQI983059 PGM983059 OWQ983059 OMU983059 OCY983059 NTC983059 NJG983059 MZK983059 MPO983059 MFS983059 LVW983059 LMA983059 LCE983059 KSI983059 KIM983059 JYQ983059 JOU983059 JEY983059 IVC983059 ILG983059 IBK983059 HRO983059 HHS983059 GXW983059 GOA983059 GEE983059 FUI983059 FKM983059 FAQ983059 EQU983059 EGY983059 DXC983059 DNG983059 DDK983059 CTO983059 CJS983059 BZW983059 BQA983059 BGE983059 AWI983059 AMM983059 ACQ983059 SU983059 IY983059 C983059 WVK917523 WLO917523 WBS917523 VRW917523 VIA917523 UYE917523 UOI917523 UEM917523 TUQ917523 TKU917523 TAY917523 SRC917523 SHG917523 RXK917523 RNO917523 RDS917523 QTW917523 QKA917523 QAE917523 PQI917523 PGM917523 OWQ917523 OMU917523 OCY917523 NTC917523 NJG917523 MZK917523 MPO917523 MFS917523 LVW917523 LMA917523 LCE917523 KSI917523 KIM917523 JYQ917523 JOU917523 JEY917523 IVC917523 ILG917523 IBK917523 HRO917523 HHS917523 GXW917523 GOA917523 GEE917523 FUI917523 FKM917523 FAQ917523 EQU917523 EGY917523 DXC917523 DNG917523 DDK917523 CTO917523 CJS917523 BZW917523 BQA917523 BGE917523 AWI917523 AMM917523 ACQ917523 SU917523 IY917523 C917523 WVK851987 WLO851987 WBS851987 VRW851987 VIA851987 UYE851987 UOI851987 UEM851987 TUQ851987 TKU851987 TAY851987 SRC851987 SHG851987 RXK851987 RNO851987 RDS851987 QTW851987 QKA851987 QAE851987 PQI851987 PGM851987 OWQ851987 OMU851987 OCY851987 NTC851987 NJG851987 MZK851987 MPO851987 MFS851987 LVW851987 LMA851987 LCE851987 KSI851987 KIM851987 JYQ851987 JOU851987 JEY851987 IVC851987 ILG851987 IBK851987 HRO851987 HHS851987 GXW851987 GOA851987 GEE851987 FUI851987 FKM851987 FAQ851987 EQU851987 EGY851987 DXC851987 DNG851987 DDK851987 CTO851987 CJS851987 BZW851987 BQA851987 BGE851987 AWI851987 AMM851987 ACQ851987 SU851987 IY851987 C851987 WVK786451 WLO786451 WBS786451 VRW786451 VIA786451 UYE786451 UOI786451 UEM786451 TUQ786451 TKU786451 TAY786451 SRC786451 SHG786451 RXK786451 RNO786451 RDS786451 QTW786451 QKA786451 QAE786451 PQI786451 PGM786451 OWQ786451 OMU786451 OCY786451 NTC786451 NJG786451 MZK786451 MPO786451 MFS786451 LVW786451 LMA786451 LCE786451 KSI786451 KIM786451 JYQ786451 JOU786451 JEY786451 IVC786451 ILG786451 IBK786451 HRO786451 HHS786451 GXW786451 GOA786451 GEE786451 FUI786451 FKM786451 FAQ786451 EQU786451 EGY786451 DXC786451 DNG786451 DDK786451 CTO786451 CJS786451 BZW786451 BQA786451 BGE786451 AWI786451 AMM786451 ACQ786451 SU786451 IY786451 C786451 WVK720915 WLO720915 WBS720915 VRW720915 VIA720915 UYE720915 UOI720915 UEM720915 TUQ720915 TKU720915 TAY720915 SRC720915 SHG720915 RXK720915 RNO720915 RDS720915 QTW720915 QKA720915 QAE720915 PQI720915 PGM720915 OWQ720915 OMU720915 OCY720915 NTC720915 NJG720915 MZK720915 MPO720915 MFS720915 LVW720915 LMA720915 LCE720915 KSI720915 KIM720915 JYQ720915 JOU720915 JEY720915 IVC720915 ILG720915 IBK720915 HRO720915 HHS720915 GXW720915 GOA720915 GEE720915 FUI720915 FKM720915 FAQ720915 EQU720915 EGY720915 DXC720915 DNG720915 DDK720915 CTO720915 CJS720915 BZW720915 BQA720915 BGE720915 AWI720915 AMM720915 ACQ720915 SU720915 IY720915 C720915 WVK655379 WLO655379 WBS655379 VRW655379 VIA655379 UYE655379 UOI655379 UEM655379 TUQ655379 TKU655379 TAY655379 SRC655379 SHG655379 RXK655379 RNO655379 RDS655379 QTW655379 QKA655379 QAE655379 PQI655379 PGM655379 OWQ655379 OMU655379 OCY655379 NTC655379 NJG655379 MZK655379 MPO655379 MFS655379 LVW655379 LMA655379 LCE655379 KSI655379 KIM655379 JYQ655379 JOU655379 JEY655379 IVC655379 ILG655379 IBK655379 HRO655379 HHS655379 GXW655379 GOA655379 GEE655379 FUI655379 FKM655379 FAQ655379 EQU655379 EGY655379 DXC655379 DNG655379 DDK655379 CTO655379 CJS655379 BZW655379 BQA655379 BGE655379 AWI655379 AMM655379 ACQ655379 SU655379 IY655379 C655379 WVK589843 WLO589843 WBS589843 VRW589843 VIA589843 UYE589843 UOI589843 UEM589843 TUQ589843 TKU589843 TAY589843 SRC589843 SHG589843 RXK589843 RNO589843 RDS589843 QTW589843 QKA589843 QAE589843 PQI589843 PGM589843 OWQ589843 OMU589843 OCY589843 NTC589843 NJG589843 MZK589843 MPO589843 MFS589843 LVW589843 LMA589843 LCE589843 KSI589843 KIM589843 JYQ589843 JOU589843 JEY589843 IVC589843 ILG589843 IBK589843 HRO589843 HHS589843 GXW589843 GOA589843 GEE589843 FUI589843 FKM589843 FAQ589843 EQU589843 EGY589843 DXC589843 DNG589843 DDK589843 CTO589843 CJS589843 BZW589843 BQA589843 BGE589843 AWI589843 AMM589843 ACQ589843 SU589843 IY589843 C589843 WVK524307 WLO524307 WBS524307 VRW524307 VIA524307 UYE524307 UOI524307 UEM524307 TUQ524307 TKU524307 TAY524307 SRC524307 SHG524307 RXK524307 RNO524307 RDS524307 QTW524307 QKA524307 QAE524307 PQI524307 PGM524307 OWQ524307 OMU524307 OCY524307 NTC524307 NJG524307 MZK524307 MPO524307 MFS524307 LVW524307 LMA524307 LCE524307 KSI524307 KIM524307 JYQ524307 JOU524307 JEY524307 IVC524307 ILG524307 IBK524307 HRO524307 HHS524307 GXW524307 GOA524307 GEE524307 FUI524307 FKM524307 FAQ524307 EQU524307 EGY524307 DXC524307 DNG524307 DDK524307 CTO524307 CJS524307 BZW524307 BQA524307 BGE524307 AWI524307 AMM524307 ACQ524307 SU524307 IY524307 C524307 WVK458771 WLO458771 WBS458771 VRW458771 VIA458771 UYE458771 UOI458771 UEM458771 TUQ458771 TKU458771 TAY458771 SRC458771 SHG458771 RXK458771 RNO458771 RDS458771 QTW458771 QKA458771 QAE458771 PQI458771 PGM458771 OWQ458771 OMU458771 OCY458771 NTC458771 NJG458771 MZK458771 MPO458771 MFS458771 LVW458771 LMA458771 LCE458771 KSI458771 KIM458771 JYQ458771 JOU458771 JEY458771 IVC458771 ILG458771 IBK458771 HRO458771 HHS458771 GXW458771 GOA458771 GEE458771 FUI458771 FKM458771 FAQ458771 EQU458771 EGY458771 DXC458771 DNG458771 DDK458771 CTO458771 CJS458771 BZW458771 BQA458771 BGE458771 AWI458771 AMM458771 ACQ458771 SU458771 IY458771 C458771 WVK393235 WLO393235 WBS393235 VRW393235 VIA393235 UYE393235 UOI393235 UEM393235 TUQ393235 TKU393235 TAY393235 SRC393235 SHG393235 RXK393235 RNO393235 RDS393235 QTW393235 QKA393235 QAE393235 PQI393235 PGM393235 OWQ393235 OMU393235 OCY393235 NTC393235 NJG393235 MZK393235 MPO393235 MFS393235 LVW393235 LMA393235 LCE393235 KSI393235 KIM393235 JYQ393235 JOU393235 JEY393235 IVC393235 ILG393235 IBK393235 HRO393235 HHS393235 GXW393235 GOA393235 GEE393235 FUI393235 FKM393235 FAQ393235 EQU393235 EGY393235 DXC393235 DNG393235 DDK393235 CTO393235 CJS393235 BZW393235 BQA393235 BGE393235 AWI393235 AMM393235 ACQ393235 SU393235 IY393235 C393235 WVK327699 WLO327699 WBS327699 VRW327699 VIA327699 UYE327699 UOI327699 UEM327699 TUQ327699 TKU327699 TAY327699 SRC327699 SHG327699 RXK327699 RNO327699 RDS327699 QTW327699 QKA327699 QAE327699 PQI327699 PGM327699 OWQ327699 OMU327699 OCY327699 NTC327699 NJG327699 MZK327699 MPO327699 MFS327699 LVW327699 LMA327699 LCE327699 KSI327699 KIM327699 JYQ327699 JOU327699 JEY327699 IVC327699 ILG327699 IBK327699 HRO327699 HHS327699 GXW327699 GOA327699 GEE327699 FUI327699 FKM327699 FAQ327699 EQU327699 EGY327699 DXC327699 DNG327699 DDK327699 CTO327699 CJS327699 BZW327699 BQA327699 BGE327699 AWI327699 AMM327699 ACQ327699 SU327699 IY327699 C327699 WVK262163 WLO262163 WBS262163 VRW262163 VIA262163 UYE262163 UOI262163 UEM262163 TUQ262163 TKU262163 TAY262163 SRC262163 SHG262163 RXK262163 RNO262163 RDS262163 QTW262163 QKA262163 QAE262163 PQI262163 PGM262163 OWQ262163 OMU262163 OCY262163 NTC262163 NJG262163 MZK262163 MPO262163 MFS262163 LVW262163 LMA262163 LCE262163 KSI262163 KIM262163 JYQ262163 JOU262163 JEY262163 IVC262163 ILG262163 IBK262163 HRO262163 HHS262163 GXW262163 GOA262163 GEE262163 FUI262163 FKM262163 FAQ262163 EQU262163 EGY262163 DXC262163 DNG262163 DDK262163 CTO262163 CJS262163 BZW262163 BQA262163 BGE262163 AWI262163 AMM262163 ACQ262163 SU262163 IY262163 C262163 WVK196627 WLO196627 WBS196627 VRW196627 VIA196627 UYE196627 UOI196627 UEM196627 TUQ196627 TKU196627 TAY196627 SRC196627 SHG196627 RXK196627 RNO196627 RDS196627 QTW196627 QKA196627 QAE196627 PQI196627 PGM196627 OWQ196627 OMU196627 OCY196627 NTC196627 NJG196627 MZK196627 MPO196627 MFS196627 LVW196627 LMA196627 LCE196627 KSI196627 KIM196627 JYQ196627 JOU196627 JEY196627 IVC196627 ILG196627 IBK196627 HRO196627 HHS196627 GXW196627 GOA196627 GEE196627 FUI196627 FKM196627 FAQ196627 EQU196627 EGY196627 DXC196627 DNG196627 DDK196627 CTO196627 CJS196627 BZW196627 BQA196627 BGE196627 AWI196627 AMM196627 ACQ196627 SU196627 IY196627 C196627 WVK131091 WLO131091 WBS131091 VRW131091 VIA131091 UYE131091 UOI131091 UEM131091 TUQ131091 TKU131091 TAY131091 SRC131091 SHG131091 RXK131091 RNO131091 RDS131091 QTW131091 QKA131091 QAE131091 PQI131091 PGM131091 OWQ131091 OMU131091 OCY131091 NTC131091 NJG131091 MZK131091 MPO131091 MFS131091 LVW131091 LMA131091 LCE131091 KSI131091 KIM131091 JYQ131091 JOU131091 JEY131091 IVC131091 ILG131091 IBK131091 HRO131091 HHS131091 GXW131091 GOA131091 GEE131091 FUI131091 FKM131091 FAQ131091 EQU131091 EGY131091 DXC131091 DNG131091 DDK131091 CTO131091 CJS131091 BZW131091 BQA131091 BGE131091 AWI131091 AMM131091 ACQ131091 SU131091 IY131091 C131091 WVK65555 WLO65555 WBS65555 VRW65555 VIA65555 UYE65555 UOI65555 UEM65555 TUQ65555 TKU65555 TAY65555 SRC65555 SHG65555 RXK65555 RNO65555 RDS65555 QTW65555 QKA65555 QAE65555 PQI65555 PGM65555 OWQ65555 OMU65555 OCY65555 NTC65555 NJG65555 MZK65555 MPO65555 MFS65555 LVW65555 LMA65555 LCE65555 KSI65555 KIM65555 JYQ65555 JOU65555 JEY65555 IVC65555 ILG65555 IBK65555 HRO65555 HHS65555 GXW65555 GOA65555 GEE65555 FUI65555 FKM65555 FAQ65555 EQU65555 EGY65555 DXC65555 DNG65555 DDK65555 CTO65555 CJS65555 BZW65555 BQA65555 BGE65555 AWI65555 AMM65555 ACQ65555 SU65555 IY65555 C65555 WVK19 WLO19 WBS19 VRW19 VIA19 UYE19 UOI19 UEM19 TUQ19 TKU19 TAY19 SRC19 SHG19 RXK19 RNO19 RDS19 QTW19 QKA19 QAE19 PQI19 PGM19 OWQ19 OMU19 OCY19 NTC19 NJG19 MZK19 MPO19 MFS19 LVW19 LMA19 LCE19 KSI19 KIM19 JYQ19 JOU19 JEY19 IVC19 ILG19 IBK19 HRO19 HHS19 GXW19 GOA19 GEE19 FUI19 FKM19 FAQ19 EQU19 EGY19 DXC19 DNG19 DDK19 CTO19 CJS19 BZW19 BQA19 BGE19 AWI19 AMM19 ACQ19 SU19 IY19">
      <formula1>$K$19:$V$19</formula1>
    </dataValidation>
    <dataValidation type="list" allowBlank="1" showInputMessage="1" showErrorMessage="1" sqref="C28 WVK983068 WLO983068 WBS983068 VRW983068 VIA983068 UYE983068 UOI983068 UEM983068 TUQ983068 TKU983068 TAY983068 SRC983068 SHG983068 RXK983068 RNO983068 RDS983068 QTW983068 QKA983068 QAE983068 PQI983068 PGM983068 OWQ983068 OMU983068 OCY983068 NTC983068 NJG983068 MZK983068 MPO983068 MFS983068 LVW983068 LMA983068 LCE983068 KSI983068 KIM983068 JYQ983068 JOU983068 JEY983068 IVC983068 ILG983068 IBK983068 HRO983068 HHS983068 GXW983068 GOA983068 GEE983068 FUI983068 FKM983068 FAQ983068 EQU983068 EGY983068 DXC983068 DNG983068 DDK983068 CTO983068 CJS983068 BZW983068 BQA983068 BGE983068 AWI983068 AMM983068 ACQ983068 SU983068 IY983068 C983068 WVK917532 WLO917532 WBS917532 VRW917532 VIA917532 UYE917532 UOI917532 UEM917532 TUQ917532 TKU917532 TAY917532 SRC917532 SHG917532 RXK917532 RNO917532 RDS917532 QTW917532 QKA917532 QAE917532 PQI917532 PGM917532 OWQ917532 OMU917532 OCY917532 NTC917532 NJG917532 MZK917532 MPO917532 MFS917532 LVW917532 LMA917532 LCE917532 KSI917532 KIM917532 JYQ917532 JOU917532 JEY917532 IVC917532 ILG917532 IBK917532 HRO917532 HHS917532 GXW917532 GOA917532 GEE917532 FUI917532 FKM917532 FAQ917532 EQU917532 EGY917532 DXC917532 DNG917532 DDK917532 CTO917532 CJS917532 BZW917532 BQA917532 BGE917532 AWI917532 AMM917532 ACQ917532 SU917532 IY917532 C917532 WVK851996 WLO851996 WBS851996 VRW851996 VIA851996 UYE851996 UOI851996 UEM851996 TUQ851996 TKU851996 TAY851996 SRC851996 SHG851996 RXK851996 RNO851996 RDS851996 QTW851996 QKA851996 QAE851996 PQI851996 PGM851996 OWQ851996 OMU851996 OCY851996 NTC851996 NJG851996 MZK851996 MPO851996 MFS851996 LVW851996 LMA851996 LCE851996 KSI851996 KIM851996 JYQ851996 JOU851996 JEY851996 IVC851996 ILG851996 IBK851996 HRO851996 HHS851996 GXW851996 GOA851996 GEE851996 FUI851996 FKM851996 FAQ851996 EQU851996 EGY851996 DXC851996 DNG851996 DDK851996 CTO851996 CJS851996 BZW851996 BQA851996 BGE851996 AWI851996 AMM851996 ACQ851996 SU851996 IY851996 C851996 WVK786460 WLO786460 WBS786460 VRW786460 VIA786460 UYE786460 UOI786460 UEM786460 TUQ786460 TKU786460 TAY786460 SRC786460 SHG786460 RXK786460 RNO786460 RDS786460 QTW786460 QKA786460 QAE786460 PQI786460 PGM786460 OWQ786460 OMU786460 OCY786460 NTC786460 NJG786460 MZK786460 MPO786460 MFS786460 LVW786460 LMA786460 LCE786460 KSI786460 KIM786460 JYQ786460 JOU786460 JEY786460 IVC786460 ILG786460 IBK786460 HRO786460 HHS786460 GXW786460 GOA786460 GEE786460 FUI786460 FKM786460 FAQ786460 EQU786460 EGY786460 DXC786460 DNG786460 DDK786460 CTO786460 CJS786460 BZW786460 BQA786460 BGE786460 AWI786460 AMM786460 ACQ786460 SU786460 IY786460 C786460 WVK720924 WLO720924 WBS720924 VRW720924 VIA720924 UYE720924 UOI720924 UEM720924 TUQ720924 TKU720924 TAY720924 SRC720924 SHG720924 RXK720924 RNO720924 RDS720924 QTW720924 QKA720924 QAE720924 PQI720924 PGM720924 OWQ720924 OMU720924 OCY720924 NTC720924 NJG720924 MZK720924 MPO720924 MFS720924 LVW720924 LMA720924 LCE720924 KSI720924 KIM720924 JYQ720924 JOU720924 JEY720924 IVC720924 ILG720924 IBK720924 HRO720924 HHS720924 GXW720924 GOA720924 GEE720924 FUI720924 FKM720924 FAQ720924 EQU720924 EGY720924 DXC720924 DNG720924 DDK720924 CTO720924 CJS720924 BZW720924 BQA720924 BGE720924 AWI720924 AMM720924 ACQ720924 SU720924 IY720924 C720924 WVK655388 WLO655388 WBS655388 VRW655388 VIA655388 UYE655388 UOI655388 UEM655388 TUQ655388 TKU655388 TAY655388 SRC655388 SHG655388 RXK655388 RNO655388 RDS655388 QTW655388 QKA655388 QAE655388 PQI655388 PGM655388 OWQ655388 OMU655388 OCY655388 NTC655388 NJG655388 MZK655388 MPO655388 MFS655388 LVW655388 LMA655388 LCE655388 KSI655388 KIM655388 JYQ655388 JOU655388 JEY655388 IVC655388 ILG655388 IBK655388 HRO655388 HHS655388 GXW655388 GOA655388 GEE655388 FUI655388 FKM655388 FAQ655388 EQU655388 EGY655388 DXC655388 DNG655388 DDK655388 CTO655388 CJS655388 BZW655388 BQA655388 BGE655388 AWI655388 AMM655388 ACQ655388 SU655388 IY655388 C655388 WVK589852 WLO589852 WBS589852 VRW589852 VIA589852 UYE589852 UOI589852 UEM589852 TUQ589852 TKU589852 TAY589852 SRC589852 SHG589852 RXK589852 RNO589852 RDS589852 QTW589852 QKA589852 QAE589852 PQI589852 PGM589852 OWQ589852 OMU589852 OCY589852 NTC589852 NJG589852 MZK589852 MPO589852 MFS589852 LVW589852 LMA589852 LCE589852 KSI589852 KIM589852 JYQ589852 JOU589852 JEY589852 IVC589852 ILG589852 IBK589852 HRO589852 HHS589852 GXW589852 GOA589852 GEE589852 FUI589852 FKM589852 FAQ589852 EQU589852 EGY589852 DXC589852 DNG589852 DDK589852 CTO589852 CJS589852 BZW589852 BQA589852 BGE589852 AWI589852 AMM589852 ACQ589852 SU589852 IY589852 C589852 WVK524316 WLO524316 WBS524316 VRW524316 VIA524316 UYE524316 UOI524316 UEM524316 TUQ524316 TKU524316 TAY524316 SRC524316 SHG524316 RXK524316 RNO524316 RDS524316 QTW524316 QKA524316 QAE524316 PQI524316 PGM524316 OWQ524316 OMU524316 OCY524316 NTC524316 NJG524316 MZK524316 MPO524316 MFS524316 LVW524316 LMA524316 LCE524316 KSI524316 KIM524316 JYQ524316 JOU524316 JEY524316 IVC524316 ILG524316 IBK524316 HRO524316 HHS524316 GXW524316 GOA524316 GEE524316 FUI524316 FKM524316 FAQ524316 EQU524316 EGY524316 DXC524316 DNG524316 DDK524316 CTO524316 CJS524316 BZW524316 BQA524316 BGE524316 AWI524316 AMM524316 ACQ524316 SU524316 IY524316 C524316 WVK458780 WLO458780 WBS458780 VRW458780 VIA458780 UYE458780 UOI458780 UEM458780 TUQ458780 TKU458780 TAY458780 SRC458780 SHG458780 RXK458780 RNO458780 RDS458780 QTW458780 QKA458780 QAE458780 PQI458780 PGM458780 OWQ458780 OMU458780 OCY458780 NTC458780 NJG458780 MZK458780 MPO458780 MFS458780 LVW458780 LMA458780 LCE458780 KSI458780 KIM458780 JYQ458780 JOU458780 JEY458780 IVC458780 ILG458780 IBK458780 HRO458780 HHS458780 GXW458780 GOA458780 GEE458780 FUI458780 FKM458780 FAQ458780 EQU458780 EGY458780 DXC458780 DNG458780 DDK458780 CTO458780 CJS458780 BZW458780 BQA458780 BGE458780 AWI458780 AMM458780 ACQ458780 SU458780 IY458780 C458780 WVK393244 WLO393244 WBS393244 VRW393244 VIA393244 UYE393244 UOI393244 UEM393244 TUQ393244 TKU393244 TAY393244 SRC393244 SHG393244 RXK393244 RNO393244 RDS393244 QTW393244 QKA393244 QAE393244 PQI393244 PGM393244 OWQ393244 OMU393244 OCY393244 NTC393244 NJG393244 MZK393244 MPO393244 MFS393244 LVW393244 LMA393244 LCE393244 KSI393244 KIM393244 JYQ393244 JOU393244 JEY393244 IVC393244 ILG393244 IBK393244 HRO393244 HHS393244 GXW393244 GOA393244 GEE393244 FUI393244 FKM393244 FAQ393244 EQU393244 EGY393244 DXC393244 DNG393244 DDK393244 CTO393244 CJS393244 BZW393244 BQA393244 BGE393244 AWI393244 AMM393244 ACQ393244 SU393244 IY393244 C393244 WVK327708 WLO327708 WBS327708 VRW327708 VIA327708 UYE327708 UOI327708 UEM327708 TUQ327708 TKU327708 TAY327708 SRC327708 SHG327708 RXK327708 RNO327708 RDS327708 QTW327708 QKA327708 QAE327708 PQI327708 PGM327708 OWQ327708 OMU327708 OCY327708 NTC327708 NJG327708 MZK327708 MPO327708 MFS327708 LVW327708 LMA327708 LCE327708 KSI327708 KIM327708 JYQ327708 JOU327708 JEY327708 IVC327708 ILG327708 IBK327708 HRO327708 HHS327708 GXW327708 GOA327708 GEE327708 FUI327708 FKM327708 FAQ327708 EQU327708 EGY327708 DXC327708 DNG327708 DDK327708 CTO327708 CJS327708 BZW327708 BQA327708 BGE327708 AWI327708 AMM327708 ACQ327708 SU327708 IY327708 C327708 WVK262172 WLO262172 WBS262172 VRW262172 VIA262172 UYE262172 UOI262172 UEM262172 TUQ262172 TKU262172 TAY262172 SRC262172 SHG262172 RXK262172 RNO262172 RDS262172 QTW262172 QKA262172 QAE262172 PQI262172 PGM262172 OWQ262172 OMU262172 OCY262172 NTC262172 NJG262172 MZK262172 MPO262172 MFS262172 LVW262172 LMA262172 LCE262172 KSI262172 KIM262172 JYQ262172 JOU262172 JEY262172 IVC262172 ILG262172 IBK262172 HRO262172 HHS262172 GXW262172 GOA262172 GEE262172 FUI262172 FKM262172 FAQ262172 EQU262172 EGY262172 DXC262172 DNG262172 DDK262172 CTO262172 CJS262172 BZW262172 BQA262172 BGE262172 AWI262172 AMM262172 ACQ262172 SU262172 IY262172 C262172 WVK196636 WLO196636 WBS196636 VRW196636 VIA196636 UYE196636 UOI196636 UEM196636 TUQ196636 TKU196636 TAY196636 SRC196636 SHG196636 RXK196636 RNO196636 RDS196636 QTW196636 QKA196636 QAE196636 PQI196636 PGM196636 OWQ196636 OMU196636 OCY196636 NTC196636 NJG196636 MZK196636 MPO196636 MFS196636 LVW196636 LMA196636 LCE196636 KSI196636 KIM196636 JYQ196636 JOU196636 JEY196636 IVC196636 ILG196636 IBK196636 HRO196636 HHS196636 GXW196636 GOA196636 GEE196636 FUI196636 FKM196636 FAQ196636 EQU196636 EGY196636 DXC196636 DNG196636 DDK196636 CTO196636 CJS196636 BZW196636 BQA196636 BGE196636 AWI196636 AMM196636 ACQ196636 SU196636 IY196636 C196636 WVK131100 WLO131100 WBS131100 VRW131100 VIA131100 UYE131100 UOI131100 UEM131100 TUQ131100 TKU131100 TAY131100 SRC131100 SHG131100 RXK131100 RNO131100 RDS131100 QTW131100 QKA131100 QAE131100 PQI131100 PGM131100 OWQ131100 OMU131100 OCY131100 NTC131100 NJG131100 MZK131100 MPO131100 MFS131100 LVW131100 LMA131100 LCE131100 KSI131100 KIM131100 JYQ131100 JOU131100 JEY131100 IVC131100 ILG131100 IBK131100 HRO131100 HHS131100 GXW131100 GOA131100 GEE131100 FUI131100 FKM131100 FAQ131100 EQU131100 EGY131100 DXC131100 DNG131100 DDK131100 CTO131100 CJS131100 BZW131100 BQA131100 BGE131100 AWI131100 AMM131100 ACQ131100 SU131100 IY131100 C131100 WVK65564 WLO65564 WBS65564 VRW65564 VIA65564 UYE65564 UOI65564 UEM65564 TUQ65564 TKU65564 TAY65564 SRC65564 SHG65564 RXK65564 RNO65564 RDS65564 QTW65564 QKA65564 QAE65564 PQI65564 PGM65564 OWQ65564 OMU65564 OCY65564 NTC65564 NJG65564 MZK65564 MPO65564 MFS65564 LVW65564 LMA65564 LCE65564 KSI65564 KIM65564 JYQ65564 JOU65564 JEY65564 IVC65564 ILG65564 IBK65564 HRO65564 HHS65564 GXW65564 GOA65564 GEE65564 FUI65564 FKM65564 FAQ65564 EQU65564 EGY65564 DXC65564 DNG65564 DDK65564 CTO65564 CJS65564 BZW65564 BQA65564 BGE65564 AWI65564 AMM65564 ACQ65564 SU65564 IY65564 C65564 WVK28 WLO28 WBS28 VRW28 VIA28 UYE28 UOI28 UEM28 TUQ28 TKU28 TAY28 SRC28 SHG28 RXK28 RNO28 RDS28 QTW28 QKA28 QAE28 PQI28 PGM28 OWQ28 OMU28 OCY28 NTC28 NJG28 MZK28 MPO28 MFS28 LVW28 LMA28 LCE28 KSI28 KIM28 JYQ28 JOU28 JEY28 IVC28 ILG28 IBK28 HRO28 HHS28 GXW28 GOA28 GEE28 FUI28 FKM28 FAQ28 EQU28 EGY28 DXC28 DNG28 DDK28 CTO28 CJS28 BZW28 BQA28 BGE28 AWI28 AMM28 ACQ28 SU28 IY28">
      <formula1>$J$28:$O$28</formula1>
    </dataValidation>
  </dataValidations>
  <hyperlinks>
    <hyperlink ref="E29" location="LUC!A1" display="Будь ласка, розрахуйте це значення, використовуючи аркуш LUC"/>
    <hyperlink ref="E30" location="Esca!A1" display="чи аркуш ESCA для модефікованих методик"/>
  </hyperlinks>
  <pageMargins left="0.7" right="0.7" top="0.75" bottom="0.75" header="0.3" footer="0.3"/>
  <drawing r:id="rId1"/>
  <legacyDrawing r:id="rId2"/>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sheetPr codeName="Feuil2">
    <tabColor rgb="FF92D050"/>
    <pageSetUpPr fitToPage="1"/>
  </sheetPr>
  <dimension ref="A1:AG94"/>
  <sheetViews>
    <sheetView showGridLines="0" zoomScale="80" workbookViewId="0">
      <selection activeCell="O108" sqref="O108"/>
    </sheetView>
  </sheetViews>
  <sheetFormatPr defaultColWidth="11.42578125" defaultRowHeight="12.75"/>
  <cols>
    <col min="1" max="1" width="49.7109375" style="643" customWidth="1"/>
    <col min="2" max="2" width="16.85546875" style="643" customWidth="1"/>
    <col min="3" max="3" width="15" style="643" customWidth="1"/>
    <col min="4" max="4" width="12.28515625" style="643" customWidth="1"/>
    <col min="5" max="5" width="8.42578125" style="643" customWidth="1"/>
    <col min="6" max="6" width="14.42578125" style="643" customWidth="1"/>
    <col min="7" max="7" width="17.42578125" style="643" customWidth="1"/>
    <col min="8" max="8" width="9" style="643" customWidth="1"/>
    <col min="9" max="9" width="12.140625" style="643" customWidth="1"/>
    <col min="10" max="10" width="8.42578125" style="643" customWidth="1"/>
    <col min="11" max="11" width="12" style="643" customWidth="1"/>
    <col min="12" max="12" width="11.42578125" style="643"/>
    <col min="13" max="13" width="11.28515625" style="643" customWidth="1"/>
    <col min="14" max="14" width="13.7109375" style="643" customWidth="1"/>
    <col min="15" max="15" width="16.7109375" style="643" customWidth="1"/>
    <col min="16" max="16" width="13.42578125" style="643" customWidth="1"/>
    <col min="17" max="17" width="11.42578125" style="643"/>
    <col min="18" max="18" width="13.7109375" style="643" customWidth="1"/>
    <col min="19" max="20" width="11.42578125" style="643"/>
    <col min="21" max="21" width="17.28515625" style="643" customWidth="1"/>
    <col min="22" max="24" width="11.42578125" style="643"/>
    <col min="25" max="25" width="12.42578125" style="643" customWidth="1"/>
    <col min="26" max="26" width="30.85546875" style="643" customWidth="1"/>
    <col min="27" max="29" width="11.42578125" style="643"/>
    <col min="30" max="30" width="12.85546875" style="614" customWidth="1"/>
    <col min="31" max="32" width="11.42578125" style="614"/>
    <col min="33" max="33" width="19.85546875" style="614" customWidth="1"/>
    <col min="34" max="16384" width="11.42578125" style="614"/>
  </cols>
  <sheetData>
    <row r="1" spans="1:29" customFormat="1" ht="102.75" customHeight="1">
      <c r="A1" s="530"/>
      <c r="B1" s="530"/>
      <c r="C1" s="530"/>
      <c r="D1" s="530"/>
      <c r="E1" s="530"/>
      <c r="F1" s="530"/>
      <c r="G1" s="530"/>
      <c r="H1" s="530"/>
      <c r="I1" s="530"/>
      <c r="J1" s="530"/>
      <c r="K1" s="530"/>
      <c r="L1" s="530"/>
      <c r="M1" s="530"/>
      <c r="N1" s="574"/>
      <c r="O1" s="574"/>
      <c r="P1" s="574"/>
      <c r="Q1" s="574"/>
      <c r="R1" s="574"/>
      <c r="S1" s="581"/>
      <c r="T1" s="581"/>
      <c r="U1" s="581"/>
      <c r="V1" s="581"/>
      <c r="W1" s="581"/>
      <c r="X1" s="581"/>
      <c r="Y1" s="581"/>
      <c r="Z1" s="581"/>
      <c r="AA1" s="581"/>
      <c r="AB1" s="581"/>
      <c r="AC1" s="581"/>
    </row>
    <row r="2" spans="1:29" s="3" customFormat="1" ht="27.75" customHeight="1">
      <c r="A2" s="674" t="s">
        <v>1261</v>
      </c>
      <c r="B2" s="740"/>
      <c r="C2" s="675"/>
      <c r="D2" s="675"/>
      <c r="E2" s="675"/>
      <c r="F2" s="676"/>
      <c r="G2" s="677"/>
      <c r="H2" s="678"/>
      <c r="I2" s="950"/>
      <c r="J2" s="282"/>
      <c r="K2" s="282"/>
      <c r="L2" s="282"/>
      <c r="M2" s="949" t="str">
        <f>About!D2</f>
        <v>Version 4 - Public</v>
      </c>
      <c r="N2" s="623"/>
      <c r="O2" s="574"/>
      <c r="P2" s="574"/>
      <c r="Q2" s="611"/>
      <c r="R2" s="611"/>
      <c r="S2" s="611"/>
      <c r="T2" s="611"/>
      <c r="U2" s="611"/>
      <c r="V2" s="611"/>
      <c r="W2" s="611"/>
      <c r="X2" s="611"/>
      <c r="Y2" s="611"/>
      <c r="Z2" s="611"/>
      <c r="AA2" s="611"/>
      <c r="AB2" s="611"/>
      <c r="AC2" s="611"/>
    </row>
    <row r="3" spans="1:29" s="623" customFormat="1" ht="28.5" customHeight="1">
      <c r="A3" s="808" t="s">
        <v>1262</v>
      </c>
      <c r="B3" s="29"/>
      <c r="C3" s="704"/>
      <c r="D3" s="705"/>
      <c r="E3" s="705"/>
      <c r="F3" s="705"/>
      <c r="G3" s="705"/>
      <c r="H3" s="705"/>
      <c r="I3" s="706"/>
    </row>
    <row r="4" spans="1:29" s="2" customFormat="1" ht="15" customHeight="1">
      <c r="A4" s="683" t="s">
        <v>1072</v>
      </c>
      <c r="B4" s="681"/>
      <c r="C4" s="680"/>
      <c r="D4" s="681"/>
      <c r="E4" s="681"/>
      <c r="F4" s="681"/>
      <c r="G4" s="684"/>
      <c r="H4" s="705"/>
      <c r="I4" s="706"/>
      <c r="J4"/>
      <c r="K4"/>
      <c r="L4"/>
      <c r="M4"/>
      <c r="N4" s="574"/>
      <c r="O4" s="574"/>
      <c r="P4" s="574"/>
      <c r="Q4" s="574"/>
      <c r="R4" s="574"/>
      <c r="S4" s="574"/>
      <c r="T4" s="574"/>
      <c r="U4" s="574"/>
      <c r="V4" s="574"/>
      <c r="W4" s="574"/>
      <c r="X4" s="574"/>
      <c r="Y4" s="574"/>
      <c r="Z4" s="574"/>
      <c r="AA4" s="574"/>
      <c r="AB4" s="574"/>
      <c r="AC4" s="574"/>
    </row>
    <row r="5" spans="1:29" s="2" customFormat="1" ht="15" customHeight="1">
      <c r="A5" s="685" t="s">
        <v>1299</v>
      </c>
      <c r="B5" s="681"/>
      <c r="C5" s="680"/>
      <c r="D5" s="681"/>
      <c r="E5" s="681"/>
      <c r="F5" s="681"/>
      <c r="G5" s="684"/>
      <c r="H5" s="684"/>
      <c r="I5" s="682"/>
      <c r="J5" s="574"/>
      <c r="K5" s="574"/>
      <c r="L5" s="646"/>
      <c r="M5" s="646"/>
      <c r="N5" s="574"/>
      <c r="O5" s="574"/>
      <c r="P5" s="574"/>
      <c r="Q5" s="574"/>
      <c r="R5" s="574"/>
      <c r="S5" s="574"/>
      <c r="T5" s="574"/>
      <c r="U5" s="574"/>
      <c r="V5" s="574"/>
      <c r="W5" s="574"/>
      <c r="X5" s="574"/>
      <c r="Y5" s="574"/>
      <c r="Z5" s="574"/>
      <c r="AA5" s="574"/>
      <c r="AB5" s="574"/>
      <c r="AC5" s="574"/>
    </row>
    <row r="6" spans="1:29" s="2" customFormat="1" ht="40.5" customHeight="1">
      <c r="A6" s="846" t="s">
        <v>1248</v>
      </c>
      <c r="B6" s="845"/>
      <c r="C6" s="845"/>
      <c r="D6" s="845"/>
      <c r="E6" s="845"/>
      <c r="F6" s="845"/>
      <c r="G6" s="845"/>
      <c r="H6" s="684"/>
      <c r="I6" s="682"/>
      <c r="J6" s="574"/>
      <c r="K6" s="574"/>
      <c r="L6" s="646"/>
      <c r="M6" s="646"/>
      <c r="N6" s="574"/>
      <c r="O6" s="574"/>
      <c r="P6" s="574"/>
      <c r="Q6" s="574"/>
      <c r="R6" s="574"/>
      <c r="S6" s="574"/>
      <c r="T6" s="574"/>
      <c r="U6" s="574"/>
      <c r="V6" s="574"/>
      <c r="W6" s="574"/>
      <c r="X6" s="574"/>
      <c r="Y6" s="574"/>
      <c r="Z6" s="574"/>
      <c r="AA6" s="574"/>
      <c r="AB6" s="574"/>
      <c r="AC6" s="574"/>
    </row>
    <row r="7" spans="1:29" s="2" customFormat="1" ht="17.25" customHeight="1">
      <c r="A7" s="747" t="s">
        <v>1253</v>
      </c>
      <c r="B7" s="845"/>
      <c r="C7" s="845"/>
      <c r="D7" s="845"/>
      <c r="E7" s="845"/>
      <c r="F7" s="845"/>
      <c r="G7" s="845"/>
      <c r="H7" s="684"/>
      <c r="I7" s="682"/>
      <c r="J7" s="574"/>
      <c r="K7" s="574"/>
      <c r="L7" s="646"/>
      <c r="M7" s="646"/>
      <c r="N7" s="574"/>
      <c r="O7" s="574"/>
      <c r="P7" s="574"/>
      <c r="Q7" s="574"/>
      <c r="R7" s="574"/>
      <c r="S7" s="574"/>
      <c r="T7" s="574"/>
      <c r="U7" s="574"/>
      <c r="V7" s="574"/>
      <c r="W7" s="574"/>
      <c r="X7" s="574"/>
      <c r="Y7" s="574"/>
      <c r="Z7" s="574"/>
      <c r="AA7" s="574"/>
      <c r="AB7" s="574"/>
      <c r="AC7" s="574"/>
    </row>
    <row r="8" spans="1:29" s="2" customFormat="1" ht="17.25" customHeight="1">
      <c r="A8" s="747" t="s">
        <v>1168</v>
      </c>
      <c r="B8" s="845"/>
      <c r="C8" s="845"/>
      <c r="D8" s="845"/>
      <c r="E8" s="845"/>
      <c r="F8" s="845"/>
      <c r="G8" s="845"/>
      <c r="H8" s="684"/>
      <c r="I8" s="682"/>
      <c r="J8" s="574"/>
      <c r="K8" s="574"/>
      <c r="L8" s="646"/>
      <c r="M8" s="646"/>
      <c r="N8" s="574"/>
      <c r="O8" s="574"/>
      <c r="P8" s="574"/>
      <c r="Q8" s="574"/>
      <c r="R8" s="574"/>
      <c r="S8" s="574"/>
      <c r="T8" s="574"/>
      <c r="U8" s="574"/>
      <c r="V8" s="574"/>
      <c r="W8" s="574"/>
      <c r="X8" s="574"/>
      <c r="Y8" s="574"/>
      <c r="Z8" s="574"/>
      <c r="AA8" s="574"/>
      <c r="AB8" s="574"/>
      <c r="AC8" s="574"/>
    </row>
    <row r="9" spans="1:29" s="2" customFormat="1" ht="6" customHeight="1">
      <c r="A9" s="683"/>
      <c r="B9" s="681"/>
      <c r="C9" s="680"/>
      <c r="D9" s="681"/>
      <c r="E9" s="681"/>
      <c r="F9" s="681"/>
      <c r="G9" s="684"/>
      <c r="H9" s="684"/>
      <c r="I9" s="682"/>
      <c r="J9" s="574"/>
      <c r="K9" s="574"/>
      <c r="L9" s="646"/>
      <c r="M9" s="646"/>
      <c r="N9" s="574"/>
      <c r="O9" s="574"/>
      <c r="P9" s="574"/>
      <c r="Q9" s="574"/>
      <c r="R9" s="574"/>
      <c r="S9" s="574"/>
      <c r="T9" s="574"/>
      <c r="U9" s="574"/>
      <c r="V9" s="574"/>
      <c r="W9" s="574"/>
      <c r="X9" s="574"/>
      <c r="Y9" s="574"/>
      <c r="Z9" s="574"/>
      <c r="AA9" s="574"/>
      <c r="AB9" s="574"/>
      <c r="AC9" s="574"/>
    </row>
    <row r="10" spans="1:29" s="2" customFormat="1" ht="15" customHeight="1">
      <c r="A10" s="685" t="s">
        <v>1335</v>
      </c>
      <c r="B10" s="670"/>
      <c r="C10" s="680"/>
      <c r="D10" s="681"/>
      <c r="E10" s="681"/>
      <c r="F10" s="681"/>
      <c r="G10" s="684"/>
      <c r="H10" s="684"/>
      <c r="I10" s="682"/>
      <c r="J10" s="574"/>
      <c r="K10" s="574"/>
      <c r="L10" s="646"/>
      <c r="M10" s="646"/>
      <c r="N10" s="574"/>
      <c r="O10" s="574"/>
      <c r="P10" s="574"/>
      <c r="Q10" s="574"/>
      <c r="R10" s="574"/>
      <c r="S10" s="574"/>
      <c r="T10" s="574"/>
      <c r="U10" s="574"/>
      <c r="V10" s="574"/>
      <c r="W10" s="574"/>
      <c r="X10" s="574"/>
      <c r="Y10" s="574"/>
      <c r="Z10" s="574"/>
      <c r="AA10" s="574"/>
      <c r="AB10" s="574"/>
      <c r="AC10" s="574"/>
    </row>
    <row r="11" spans="1:29" s="2" customFormat="1" ht="47.25" customHeight="1">
      <c r="A11" s="3119" t="s">
        <v>915</v>
      </c>
      <c r="B11" s="3120"/>
      <c r="C11" s="3120"/>
      <c r="D11" s="3120"/>
      <c r="E11" s="3120"/>
      <c r="F11" s="3120"/>
      <c r="G11" s="3120"/>
      <c r="H11" s="686"/>
      <c r="I11" s="682"/>
      <c r="J11" s="574"/>
      <c r="K11" s="574"/>
      <c r="L11" s="647"/>
      <c r="M11" s="647"/>
      <c r="N11" s="647"/>
      <c r="O11" s="647"/>
      <c r="P11" s="647"/>
      <c r="Q11" s="574"/>
      <c r="R11" s="574"/>
      <c r="S11" s="574"/>
      <c r="T11" s="574"/>
      <c r="U11" s="574"/>
      <c r="V11" s="574"/>
      <c r="W11" s="574"/>
      <c r="X11" s="574"/>
      <c r="Y11" s="574"/>
      <c r="Z11" s="574"/>
      <c r="AA11" s="574"/>
      <c r="AB11" s="574"/>
      <c r="AC11" s="574"/>
    </row>
    <row r="12" spans="1:29" s="2" customFormat="1" ht="32.25" customHeight="1">
      <c r="A12" s="3119" t="s">
        <v>1333</v>
      </c>
      <c r="B12" s="3120"/>
      <c r="C12" s="3120"/>
      <c r="D12" s="3120"/>
      <c r="E12" s="3120"/>
      <c r="F12" s="3120"/>
      <c r="G12" s="3120"/>
      <c r="H12" s="684"/>
      <c r="I12" s="682"/>
      <c r="J12" s="574"/>
      <c r="K12" s="574"/>
      <c r="L12" s="646"/>
      <c r="M12" s="646"/>
      <c r="N12" s="574"/>
      <c r="O12" s="574"/>
      <c r="P12" s="574"/>
      <c r="Q12" s="574"/>
      <c r="R12" s="574"/>
      <c r="S12" s="574"/>
      <c r="T12" s="574"/>
      <c r="U12" s="574"/>
      <c r="V12" s="574"/>
      <c r="W12" s="574"/>
      <c r="X12" s="574"/>
      <c r="Y12" s="574"/>
      <c r="Z12" s="574"/>
      <c r="AA12" s="574"/>
      <c r="AB12" s="574"/>
      <c r="AC12" s="574"/>
    </row>
    <row r="13" spans="1:29" s="2" customFormat="1" ht="25.5" customHeight="1">
      <c r="A13" s="3119" t="s">
        <v>1334</v>
      </c>
      <c r="B13" s="3120"/>
      <c r="C13" s="3120"/>
      <c r="D13" s="3120"/>
      <c r="E13" s="3120"/>
      <c r="F13" s="3120"/>
      <c r="G13" s="3120"/>
      <c r="H13" s="684"/>
      <c r="I13" s="682"/>
      <c r="J13" s="574"/>
      <c r="K13" s="574"/>
      <c r="L13" s="646"/>
      <c r="M13" s="646"/>
      <c r="N13" s="574"/>
      <c r="O13" s="574"/>
      <c r="P13" s="574"/>
      <c r="Q13" s="574"/>
      <c r="R13" s="574"/>
      <c r="S13" s="574"/>
      <c r="T13" s="574"/>
      <c r="U13" s="574"/>
      <c r="V13" s="574"/>
      <c r="W13" s="574"/>
      <c r="X13" s="574"/>
      <c r="Y13" s="574"/>
      <c r="Z13" s="574"/>
      <c r="AA13" s="574"/>
      <c r="AB13" s="574"/>
      <c r="AC13" s="574"/>
    </row>
    <row r="14" spans="1:29" s="623" customFormat="1" ht="39" customHeight="1">
      <c r="A14" s="3121" t="s">
        <v>1169</v>
      </c>
      <c r="B14" s="3122"/>
      <c r="C14" s="3122"/>
      <c r="D14" s="3122"/>
      <c r="E14" s="3122"/>
      <c r="F14" s="3122"/>
      <c r="G14" s="3122"/>
      <c r="H14" s="687"/>
      <c r="I14" s="688"/>
      <c r="J14" s="574"/>
      <c r="K14" s="574"/>
      <c r="L14" s="574"/>
      <c r="M14" s="574"/>
      <c r="N14" s="574"/>
      <c r="O14" s="574"/>
      <c r="P14" s="574"/>
      <c r="Q14" s="574"/>
      <c r="R14" s="574"/>
      <c r="S14" s="574"/>
      <c r="T14" s="574"/>
      <c r="U14" s="574"/>
      <c r="V14" s="574"/>
      <c r="W14" s="574"/>
      <c r="X14" s="574"/>
      <c r="Y14" s="574"/>
      <c r="Z14" s="574"/>
      <c r="AA14" s="574"/>
      <c r="AB14" s="574"/>
      <c r="AC14" s="574"/>
    </row>
    <row r="15" spans="1:29" s="3" customFormat="1" ht="15.75" customHeight="1">
      <c r="A15" s="606"/>
      <c r="B15" s="606"/>
      <c r="C15" s="607"/>
      <c r="D15" s="608"/>
      <c r="E15" s="608"/>
      <c r="F15" s="608"/>
      <c r="G15" s="609"/>
      <c r="H15" s="610"/>
      <c r="I15" s="611"/>
      <c r="J15" s="612"/>
      <c r="K15" s="610"/>
      <c r="L15" s="611"/>
      <c r="M15" s="612"/>
      <c r="N15" s="574"/>
      <c r="O15" s="574"/>
      <c r="P15" s="574"/>
      <c r="Q15" s="611"/>
      <c r="R15" s="611"/>
      <c r="S15" s="611"/>
      <c r="T15" s="611"/>
      <c r="U15" s="611"/>
      <c r="V15" s="611"/>
      <c r="W15" s="611"/>
      <c r="X15" s="611"/>
      <c r="Y15" s="611"/>
      <c r="Z15" s="611"/>
      <c r="AA15" s="611"/>
      <c r="AB15" s="611"/>
      <c r="AC15" s="611"/>
    </row>
    <row r="16" spans="1:29" s="613" customFormat="1" ht="20.25" customHeight="1">
      <c r="A16" s="703" t="s">
        <v>1020</v>
      </c>
      <c r="B16" s="741"/>
      <c r="C16" s="665"/>
      <c r="D16" s="665"/>
      <c r="E16" s="666"/>
      <c r="F16" s="665"/>
      <c r="G16" s="665"/>
      <c r="H16" s="665"/>
      <c r="I16" s="667"/>
      <c r="J16" s="642"/>
      <c r="K16" s="642"/>
      <c r="L16" s="642"/>
      <c r="M16" s="642"/>
      <c r="N16" s="642"/>
      <c r="O16" s="642"/>
      <c r="P16" s="642"/>
      <c r="Q16" s="642"/>
      <c r="R16" s="642"/>
      <c r="S16" s="642"/>
      <c r="T16" s="642"/>
      <c r="U16" s="642"/>
      <c r="V16" s="642"/>
      <c r="W16" s="642"/>
      <c r="X16" s="642"/>
      <c r="Y16" s="642"/>
      <c r="Z16" s="642"/>
      <c r="AA16" s="642"/>
      <c r="AB16" s="642"/>
      <c r="AC16" s="642"/>
    </row>
    <row r="17" spans="1:29" s="613" customFormat="1" ht="27" customHeight="1">
      <c r="A17" s="802" t="s">
        <v>1021</v>
      </c>
      <c r="B17" s="743"/>
      <c r="C17" s="717"/>
      <c r="D17" s="717"/>
      <c r="E17" s="717"/>
      <c r="F17" s="717"/>
      <c r="G17" s="717"/>
      <c r="H17" s="717"/>
      <c r="I17" s="722"/>
      <c r="J17" s="642"/>
      <c r="K17" s="642"/>
      <c r="L17" s="642"/>
      <c r="M17" s="642"/>
      <c r="N17" s="642"/>
      <c r="O17" s="642"/>
      <c r="P17" s="642"/>
      <c r="Q17" s="642"/>
      <c r="R17" s="642"/>
      <c r="S17" s="642"/>
      <c r="T17" s="642"/>
      <c r="U17" s="642"/>
      <c r="V17" s="642"/>
      <c r="W17" s="642"/>
      <c r="X17" s="642"/>
      <c r="Y17" s="642"/>
      <c r="Z17" s="642"/>
      <c r="AA17" s="642"/>
      <c r="AB17" s="642"/>
      <c r="AC17" s="642"/>
    </row>
    <row r="18" spans="1:29" s="613" customFormat="1" ht="15.75" customHeight="1">
      <c r="A18" s="752" t="s">
        <v>1254</v>
      </c>
      <c r="B18" s="670"/>
      <c r="C18" s="807"/>
      <c r="D18" s="689"/>
      <c r="E18" s="689"/>
      <c r="F18" s="689"/>
      <c r="G18" s="790"/>
      <c r="H18" s="689"/>
      <c r="I18" s="690"/>
      <c r="J18" s="642"/>
      <c r="K18" s="818" t="s">
        <v>1295</v>
      </c>
      <c r="L18" s="776"/>
      <c r="M18" s="776"/>
      <c r="N18" s="776"/>
      <c r="O18" s="776"/>
      <c r="P18" s="776"/>
      <c r="Q18" s="776"/>
      <c r="R18" s="776"/>
      <c r="S18" s="776" t="s">
        <v>1281</v>
      </c>
      <c r="T18" s="776" t="s">
        <v>1282</v>
      </c>
      <c r="U18" s="776" t="s">
        <v>1285</v>
      </c>
      <c r="V18" s="780" t="s">
        <v>1286</v>
      </c>
      <c r="W18" s="642"/>
      <c r="X18" s="642"/>
      <c r="Y18" s="642"/>
      <c r="Z18" s="642"/>
      <c r="AA18" s="642"/>
      <c r="AB18" s="642"/>
      <c r="AC18" s="642"/>
    </row>
    <row r="19" spans="1:29" s="650" customFormat="1" ht="63.75" customHeight="1">
      <c r="A19" s="805"/>
      <c r="B19" s="742" t="s">
        <v>1022</v>
      </c>
      <c r="C19" s="736" t="s">
        <v>1440</v>
      </c>
      <c r="D19" s="691"/>
      <c r="E19" s="668"/>
      <c r="F19" s="815" t="s">
        <v>1256</v>
      </c>
      <c r="G19" s="816"/>
      <c r="H19" s="668"/>
      <c r="I19" s="692"/>
      <c r="J19" s="671"/>
      <c r="K19" s="727" t="s">
        <v>1346</v>
      </c>
      <c r="L19" s="696" t="s">
        <v>1440</v>
      </c>
      <c r="M19" s="696" t="s">
        <v>1435</v>
      </c>
      <c r="N19" s="696" t="s">
        <v>1424</v>
      </c>
      <c r="O19" s="696" t="s">
        <v>1416</v>
      </c>
      <c r="P19" s="696" t="s">
        <v>898</v>
      </c>
      <c r="Q19" s="696" t="s">
        <v>1445</v>
      </c>
      <c r="R19" s="696" t="s">
        <v>1023</v>
      </c>
      <c r="S19" s="860"/>
      <c r="T19" s="860"/>
      <c r="U19" s="860"/>
      <c r="V19" s="861"/>
      <c r="W19" s="648"/>
      <c r="X19" s="648"/>
      <c r="Y19" s="648"/>
      <c r="Z19" s="648"/>
      <c r="AA19" s="648"/>
      <c r="AB19" s="648"/>
      <c r="AC19" s="648"/>
    </row>
    <row r="20" spans="1:29" s="34" customFormat="1" ht="15.75">
      <c r="A20" s="715"/>
      <c r="B20" s="709" t="s">
        <v>1024</v>
      </c>
      <c r="C20" s="870">
        <v>3067.3</v>
      </c>
      <c r="D20" s="693" t="s">
        <v>860</v>
      </c>
      <c r="E20" s="669"/>
      <c r="F20" s="902" t="s">
        <v>1220</v>
      </c>
      <c r="G20" s="903" t="s">
        <v>1257</v>
      </c>
      <c r="H20" s="668"/>
      <c r="I20" s="694"/>
      <c r="J20" s="651"/>
      <c r="K20" s="749"/>
      <c r="L20" s="750"/>
      <c r="M20" s="750"/>
      <c r="N20" s="750"/>
      <c r="O20" s="750"/>
      <c r="P20" s="750"/>
      <c r="Q20" s="750"/>
      <c r="R20" s="750"/>
      <c r="S20" s="750"/>
      <c r="T20" s="750"/>
      <c r="U20" s="750"/>
      <c r="V20" s="751"/>
      <c r="W20" s="641"/>
      <c r="X20" s="641"/>
      <c r="Y20" s="641"/>
      <c r="Z20" s="641"/>
      <c r="AA20" s="641"/>
      <c r="AB20" s="641"/>
      <c r="AC20" s="641"/>
    </row>
    <row r="21" spans="1:29" s="34" customFormat="1">
      <c r="A21" s="715"/>
      <c r="B21" s="709" t="s">
        <v>1025</v>
      </c>
      <c r="C21" s="737"/>
      <c r="D21" s="673"/>
      <c r="E21" s="669"/>
      <c r="F21" s="904" t="s">
        <v>1221</v>
      </c>
      <c r="G21" s="905" t="s">
        <v>1258</v>
      </c>
      <c r="H21" s="668"/>
      <c r="I21" s="694"/>
      <c r="J21" s="651"/>
      <c r="K21" s="651"/>
      <c r="L21" s="641"/>
      <c r="M21" s="641"/>
      <c r="N21" s="641"/>
      <c r="O21" s="641"/>
      <c r="P21" s="641"/>
      <c r="Q21" s="641"/>
      <c r="R21" s="641"/>
      <c r="S21" s="641"/>
      <c r="T21" s="641"/>
      <c r="U21" s="641"/>
      <c r="V21" s="641"/>
      <c r="W21" s="641"/>
      <c r="X21" s="641"/>
      <c r="Y21" s="641"/>
      <c r="Z21" s="641"/>
      <c r="AA21" s="641"/>
      <c r="AB21" s="641"/>
      <c r="AC21" s="641"/>
    </row>
    <row r="22" spans="1:29" s="34" customFormat="1" ht="15.75">
      <c r="A22" s="715"/>
      <c r="B22" s="709" t="s">
        <v>1026</v>
      </c>
      <c r="C22" s="672">
        <f>C20*(1-C21)</f>
        <v>3067.3</v>
      </c>
      <c r="D22" s="693" t="s">
        <v>861</v>
      </c>
      <c r="E22" s="670"/>
      <c r="F22" s="904" t="s">
        <v>1222</v>
      </c>
      <c r="G22" s="905" t="s">
        <v>1259</v>
      </c>
      <c r="H22" s="668"/>
      <c r="I22" s="695"/>
      <c r="J22" s="641"/>
      <c r="K22" s="641"/>
      <c r="L22" s="641"/>
      <c r="M22" s="641"/>
      <c r="N22" s="641"/>
      <c r="O22" s="641"/>
      <c r="P22" s="641"/>
      <c r="Q22" s="641"/>
      <c r="R22" s="641"/>
      <c r="S22" s="641"/>
      <c r="T22" s="641"/>
      <c r="U22" s="641"/>
      <c r="V22" s="641"/>
      <c r="W22" s="641"/>
      <c r="X22" s="641"/>
      <c r="Y22" s="641"/>
      <c r="Z22" s="641"/>
      <c r="AA22" s="641"/>
      <c r="AB22" s="641"/>
      <c r="AC22" s="641"/>
    </row>
    <row r="23" spans="1:29" s="34" customFormat="1" ht="15.75">
      <c r="A23" s="715"/>
      <c r="B23" s="709" t="str">
        <f>IF(C19&lt;&gt;"Palm","Straw yield (removed from the field)","")</f>
        <v>Straw yield (removed from the field)</v>
      </c>
      <c r="C23" s="736"/>
      <c r="D23" s="693" t="str">
        <f>IF(C19&lt;&gt;"Palm","kg dm/ha/year","")</f>
        <v>kg dm/ha/year</v>
      </c>
      <c r="E23" s="670"/>
      <c r="F23" s="906" t="s">
        <v>1263</v>
      </c>
      <c r="G23" s="907" t="s">
        <v>1260</v>
      </c>
      <c r="H23" s="668"/>
      <c r="I23" s="695"/>
      <c r="J23" s="641"/>
      <c r="K23" s="641"/>
      <c r="L23" s="641"/>
      <c r="M23" s="641"/>
      <c r="N23" s="641"/>
      <c r="O23" s="641"/>
      <c r="P23" s="641"/>
      <c r="Q23" s="641"/>
      <c r="R23" s="641"/>
      <c r="S23" s="641"/>
      <c r="T23" s="641"/>
      <c r="U23" s="641"/>
      <c r="V23" s="641"/>
      <c r="W23" s="641"/>
      <c r="X23" s="641"/>
      <c r="Y23" s="641"/>
      <c r="Z23" s="641"/>
      <c r="AA23" s="641"/>
      <c r="AB23" s="641"/>
      <c r="AC23" s="641"/>
    </row>
    <row r="24" spans="1:29" s="652" customFormat="1">
      <c r="A24" s="715"/>
      <c r="B24" s="709"/>
      <c r="C24" s="696"/>
      <c r="D24" s="693"/>
      <c r="E24" s="697"/>
      <c r="F24" s="697"/>
      <c r="G24" s="819"/>
      <c r="H24" s="668"/>
      <c r="I24" s="698"/>
      <c r="J24" s="649"/>
      <c r="K24" s="649"/>
      <c r="L24" s="649"/>
      <c r="M24" s="649"/>
      <c r="N24" s="649"/>
      <c r="O24" s="649"/>
      <c r="P24" s="649"/>
      <c r="Q24" s="649"/>
      <c r="R24" s="649"/>
      <c r="S24" s="649"/>
      <c r="T24" s="649"/>
      <c r="U24" s="649"/>
      <c r="V24" s="649"/>
      <c r="W24" s="649"/>
      <c r="X24" s="649"/>
      <c r="Y24" s="649"/>
      <c r="Z24" s="649"/>
      <c r="AA24" s="649"/>
      <c r="AB24" s="649"/>
      <c r="AC24" s="649"/>
    </row>
    <row r="25" spans="1:29" s="34" customFormat="1" ht="40.5" customHeight="1">
      <c r="A25" s="739"/>
      <c r="B25" s="709" t="s">
        <v>1267</v>
      </c>
      <c r="C25" s="736" t="s">
        <v>747</v>
      </c>
      <c r="D25" s="789"/>
      <c r="E25" s="3117" t="s">
        <v>886</v>
      </c>
      <c r="F25" s="3117"/>
      <c r="G25" s="3117"/>
      <c r="H25" s="3117"/>
      <c r="I25" s="3118"/>
      <c r="J25" s="641"/>
      <c r="K25" s="881" t="s">
        <v>1181</v>
      </c>
      <c r="L25" s="881" t="s">
        <v>747</v>
      </c>
      <c r="M25" s="881" t="s">
        <v>748</v>
      </c>
      <c r="N25" s="641"/>
      <c r="O25" s="641"/>
      <c r="P25" s="641"/>
      <c r="Q25" s="641"/>
      <c r="R25" s="641"/>
      <c r="S25" s="641"/>
      <c r="T25" s="641"/>
      <c r="U25" s="641"/>
      <c r="V25" s="641"/>
      <c r="W25" s="641"/>
      <c r="X25" s="641"/>
      <c r="Y25" s="641"/>
      <c r="Z25" s="641"/>
      <c r="AA25" s="641"/>
      <c r="AB25" s="641"/>
      <c r="AC25" s="641"/>
    </row>
    <row r="26" spans="1:29" s="34" customFormat="1" ht="18.75" customHeight="1">
      <c r="A26" s="702"/>
      <c r="B26" s="801"/>
      <c r="C26" s="670"/>
      <c r="D26" s="670"/>
      <c r="E26" s="844" t="s">
        <v>1268</v>
      </c>
      <c r="F26" s="670"/>
      <c r="G26" s="670"/>
      <c r="H26" s="670"/>
      <c r="I26" s="817"/>
      <c r="J26" s="641"/>
      <c r="K26" s="641"/>
      <c r="L26" s="641"/>
      <c r="M26" s="641"/>
      <c r="N26" s="641"/>
      <c r="O26" s="641"/>
      <c r="P26" s="641"/>
      <c r="Q26" s="641"/>
      <c r="R26" s="641"/>
      <c r="S26" s="641"/>
      <c r="T26" s="641"/>
      <c r="U26" s="641"/>
      <c r="V26" s="641"/>
      <c r="W26" s="641"/>
      <c r="X26" s="641"/>
      <c r="Y26" s="641"/>
      <c r="Z26" s="641"/>
      <c r="AA26" s="641"/>
      <c r="AB26" s="641"/>
      <c r="AC26" s="641"/>
    </row>
    <row r="27" spans="1:29" s="34" customFormat="1" ht="18.75" customHeight="1">
      <c r="A27" s="812" t="s">
        <v>1307</v>
      </c>
      <c r="B27" s="872"/>
      <c r="C27" s="743"/>
      <c r="D27" s="743"/>
      <c r="E27" s="873"/>
      <c r="F27" s="743"/>
      <c r="G27" s="743"/>
      <c r="H27" s="743"/>
      <c r="I27" s="874"/>
      <c r="J27" s="641"/>
      <c r="K27" s="641"/>
      <c r="L27" s="641"/>
      <c r="M27" s="641"/>
      <c r="N27" s="641"/>
      <c r="O27" s="641"/>
      <c r="P27" s="641"/>
      <c r="Q27" s="641"/>
      <c r="R27" s="641"/>
      <c r="S27" s="641"/>
      <c r="T27" s="641"/>
      <c r="U27" s="641"/>
      <c r="V27" s="641"/>
      <c r="W27" s="641"/>
      <c r="X27" s="641"/>
      <c r="Y27" s="641"/>
      <c r="Z27" s="641"/>
      <c r="AA27" s="641"/>
      <c r="AB27" s="641"/>
      <c r="AC27" s="641"/>
    </row>
    <row r="28" spans="1:29" s="34" customFormat="1" ht="18.75" customHeight="1">
      <c r="A28" s="702"/>
      <c r="B28" s="709" t="s">
        <v>1303</v>
      </c>
      <c r="C28" s="879" t="s">
        <v>1202</v>
      </c>
      <c r="D28" s="670"/>
      <c r="E28" s="844"/>
      <c r="F28" s="670" t="s">
        <v>1310</v>
      </c>
      <c r="G28" s="670"/>
      <c r="H28" s="670"/>
      <c r="I28" s="817"/>
      <c r="J28" s="882" t="s">
        <v>1202</v>
      </c>
      <c r="K28" s="881" t="s">
        <v>1305</v>
      </c>
      <c r="L28" s="881" t="s">
        <v>1304</v>
      </c>
      <c r="M28" s="881" t="s">
        <v>1306</v>
      </c>
      <c r="N28" s="881" t="s">
        <v>1308</v>
      </c>
      <c r="O28" s="881" t="s">
        <v>1309</v>
      </c>
      <c r="P28" s="641"/>
      <c r="Q28" s="641"/>
      <c r="R28" s="641"/>
      <c r="S28" s="641"/>
      <c r="T28" s="641"/>
      <c r="U28" s="641"/>
      <c r="V28" s="641"/>
      <c r="W28" s="641"/>
      <c r="X28" s="641"/>
      <c r="Y28" s="641"/>
      <c r="Z28" s="641"/>
      <c r="AA28" s="641"/>
      <c r="AB28" s="641"/>
      <c r="AC28" s="641"/>
    </row>
    <row r="29" spans="1:29" s="34" customFormat="1">
      <c r="A29" s="715"/>
      <c r="B29" s="709" t="s">
        <v>1027</v>
      </c>
      <c r="C29" s="736">
        <v>0</v>
      </c>
      <c r="D29" s="693" t="s">
        <v>1301</v>
      </c>
      <c r="E29" s="670"/>
      <c r="F29" s="878" t="s">
        <v>1302</v>
      </c>
      <c r="G29" s="670"/>
      <c r="H29" s="670"/>
      <c r="I29" s="695"/>
      <c r="J29" s="641"/>
      <c r="K29" s="641"/>
      <c r="L29" s="641"/>
      <c r="M29" s="641"/>
      <c r="N29" s="641"/>
      <c r="O29" s="641"/>
      <c r="P29" s="641"/>
      <c r="Q29" s="641"/>
      <c r="R29" s="641"/>
      <c r="S29" s="641"/>
      <c r="T29" s="641"/>
      <c r="U29" s="641"/>
      <c r="V29" s="641"/>
      <c r="W29" s="641"/>
      <c r="X29" s="641"/>
      <c r="Y29" s="641"/>
      <c r="Z29" s="641"/>
      <c r="AA29" s="641"/>
      <c r="AB29" s="641"/>
      <c r="AC29" s="641"/>
    </row>
    <row r="30" spans="1:29" s="34" customFormat="1" ht="23.25" customHeight="1">
      <c r="A30" s="875"/>
      <c r="B30" s="876"/>
      <c r="C30" s="700"/>
      <c r="D30" s="700"/>
      <c r="E30" s="700"/>
      <c r="F30" s="880" t="s">
        <v>1203</v>
      </c>
      <c r="G30" s="700"/>
      <c r="H30" s="700"/>
      <c r="I30" s="877"/>
      <c r="J30" s="641"/>
      <c r="K30" s="641"/>
      <c r="L30" s="641"/>
      <c r="M30" s="641"/>
      <c r="N30" s="641"/>
      <c r="O30" s="641"/>
      <c r="P30" s="641"/>
      <c r="Q30" s="641"/>
      <c r="R30" s="641"/>
      <c r="S30" s="641"/>
      <c r="T30" s="641"/>
      <c r="U30" s="641"/>
      <c r="V30" s="641"/>
      <c r="W30" s="641"/>
      <c r="X30" s="641"/>
      <c r="Y30" s="641"/>
      <c r="Z30" s="641"/>
      <c r="AA30" s="641"/>
      <c r="AB30" s="641"/>
      <c r="AC30" s="641"/>
    </row>
    <row r="31" spans="1:29" s="34" customFormat="1" ht="23.25" customHeight="1">
      <c r="A31" s="812" t="s">
        <v>1255</v>
      </c>
      <c r="B31" s="813"/>
      <c r="C31" s="847" t="s">
        <v>1290</v>
      </c>
      <c r="D31" s="814"/>
      <c r="E31" s="743"/>
      <c r="F31" s="743"/>
      <c r="G31" s="743"/>
      <c r="H31" s="760" t="s">
        <v>1265</v>
      </c>
      <c r="I31" s="755"/>
      <c r="J31" s="641"/>
      <c r="K31" s="641"/>
      <c r="L31" s="641"/>
      <c r="M31" s="641"/>
      <c r="N31" s="641"/>
      <c r="O31" s="641"/>
      <c r="P31" s="641"/>
      <c r="Q31" s="641"/>
      <c r="R31" s="641"/>
      <c r="S31" s="641"/>
      <c r="T31" s="641"/>
      <c r="U31" s="641"/>
      <c r="V31" s="641"/>
      <c r="W31" s="641"/>
      <c r="X31" s="641"/>
      <c r="Y31" s="641"/>
      <c r="Z31" s="641"/>
      <c r="AA31" s="641"/>
      <c r="AB31" s="641"/>
      <c r="AC31" s="641"/>
    </row>
    <row r="32" spans="1:29" s="34" customFormat="1" ht="13.5" customHeight="1">
      <c r="A32" s="806"/>
      <c r="B32" s="709"/>
      <c r="C32" s="807" t="s">
        <v>1266</v>
      </c>
      <c r="D32" s="693"/>
      <c r="E32" s="670"/>
      <c r="F32" s="670"/>
      <c r="G32" s="670"/>
      <c r="H32" s="696"/>
      <c r="I32" s="695"/>
      <c r="J32" s="641"/>
      <c r="K32" s="641"/>
      <c r="L32" s="641"/>
      <c r="M32" s="641"/>
      <c r="N32" s="641"/>
      <c r="O32" s="641"/>
      <c r="P32" s="641"/>
      <c r="Q32" s="641"/>
      <c r="R32" s="641"/>
      <c r="S32" s="641"/>
      <c r="T32" s="641"/>
      <c r="U32" s="641"/>
      <c r="V32" s="641"/>
      <c r="W32" s="641"/>
      <c r="X32" s="641"/>
      <c r="Y32" s="641"/>
      <c r="Z32" s="641"/>
      <c r="AA32" s="641"/>
      <c r="AB32" s="641"/>
      <c r="AC32" s="641"/>
    </row>
    <row r="33" spans="1:33" s="34" customFormat="1" ht="13.5" customHeight="1">
      <c r="A33" s="948" t="str">
        <f>IF(C19="Palm", "If palm :", "")</f>
        <v/>
      </c>
      <c r="B33" s="709"/>
      <c r="C33" s="807"/>
      <c r="D33" s="693"/>
      <c r="E33" s="670"/>
      <c r="F33" s="670"/>
      <c r="G33" s="670"/>
      <c r="H33" s="696"/>
      <c r="I33" s="695"/>
      <c r="J33" s="641"/>
      <c r="K33" s="641"/>
      <c r="L33" s="641"/>
      <c r="M33" s="641"/>
      <c r="N33" s="641"/>
      <c r="O33" s="641"/>
      <c r="P33" s="641"/>
      <c r="Q33" s="641"/>
      <c r="R33" s="641"/>
      <c r="S33" s="641"/>
      <c r="T33" s="641"/>
      <c r="U33" s="641"/>
      <c r="V33" s="641"/>
      <c r="W33" s="641"/>
      <c r="X33" s="641"/>
      <c r="Y33" s="641"/>
      <c r="Z33" s="641"/>
      <c r="AA33" s="641"/>
      <c r="AB33" s="641"/>
      <c r="AC33" s="641"/>
    </row>
    <row r="34" spans="1:33" s="652" customFormat="1" ht="15.75" customHeight="1">
      <c r="A34" s="747"/>
      <c r="B34" s="709" t="str">
        <f>IF(C19="Palm", "Amount of crop residue returned to the field:", "")</f>
        <v/>
      </c>
      <c r="C34" s="810"/>
      <c r="D34" s="693" t="str">
        <f>IF(C19="Palm","kg dm/kg wet FFB","")</f>
        <v/>
      </c>
      <c r="E34" s="697"/>
      <c r="F34" s="697"/>
      <c r="G34" s="697"/>
      <c r="H34" s="696" t="str">
        <f>IF(C19="palm", "RED used by default 0.22","")</f>
        <v/>
      </c>
      <c r="I34" s="698"/>
      <c r="J34" s="649"/>
      <c r="K34" s="649"/>
      <c r="L34" s="649"/>
      <c r="M34" s="649"/>
      <c r="N34" s="649"/>
      <c r="O34" s="649"/>
      <c r="P34" s="649"/>
      <c r="Q34" s="649"/>
      <c r="R34" s="649"/>
      <c r="S34" s="649"/>
      <c r="T34" s="649"/>
      <c r="U34" s="649"/>
      <c r="V34" s="649"/>
      <c r="W34" s="649"/>
      <c r="X34" s="649"/>
      <c r="Y34" s="649"/>
      <c r="Z34" s="649"/>
      <c r="AA34" s="649"/>
      <c r="AB34" s="649"/>
      <c r="AC34" s="649"/>
    </row>
    <row r="35" spans="1:33" s="652" customFormat="1" ht="15.75" customHeight="1">
      <c r="A35" s="727" t="str">
        <f>IF(C19="sugar cane","If sugar cane :","")</f>
        <v/>
      </c>
      <c r="B35" s="709"/>
      <c r="C35" s="696"/>
      <c r="D35" s="693"/>
      <c r="E35" s="697"/>
      <c r="F35" s="697"/>
      <c r="G35" s="697"/>
      <c r="H35" s="697"/>
      <c r="I35" s="698"/>
      <c r="J35" s="649"/>
      <c r="K35" s="649"/>
      <c r="L35" s="649"/>
      <c r="M35" s="649"/>
      <c r="N35" s="649"/>
      <c r="O35" s="649"/>
      <c r="P35" s="649"/>
      <c r="Q35" s="649"/>
      <c r="R35" s="649"/>
      <c r="S35" s="649"/>
      <c r="T35" s="649"/>
      <c r="U35" s="649"/>
      <c r="V35" s="649"/>
      <c r="W35" s="649"/>
      <c r="X35" s="649"/>
      <c r="Y35" s="649"/>
      <c r="Z35" s="649"/>
      <c r="AA35" s="649"/>
      <c r="AB35" s="649"/>
      <c r="AC35" s="649"/>
    </row>
    <row r="36" spans="1:33" s="652" customFormat="1">
      <c r="A36" s="747"/>
      <c r="B36" s="709" t="str">
        <f>IF(C19="sugar cane","Amount of vignasse applied to the field :","")</f>
        <v/>
      </c>
      <c r="C36" s="810"/>
      <c r="D36" s="693" t="str">
        <f>IF(C19="sugar cane","kg of vignasse dm/kg sucar cane fm","")</f>
        <v/>
      </c>
      <c r="E36" s="697"/>
      <c r="F36" s="697"/>
      <c r="G36" s="807"/>
      <c r="H36" s="696" t="str">
        <f>IF(C19="sugar cane", "RED used by default 0.94","")</f>
        <v/>
      </c>
      <c r="I36" s="698"/>
      <c r="J36" s="649"/>
      <c r="K36" s="649"/>
      <c r="L36" s="649"/>
      <c r="M36" s="649"/>
      <c r="N36" s="649"/>
      <c r="O36" s="649"/>
      <c r="P36" s="649"/>
      <c r="Q36" s="649"/>
      <c r="R36" s="649"/>
      <c r="S36" s="649"/>
      <c r="T36" s="649"/>
      <c r="U36" s="649"/>
      <c r="V36" s="649"/>
      <c r="W36" s="649"/>
      <c r="X36" s="649"/>
      <c r="Y36" s="649"/>
      <c r="Z36" s="649"/>
      <c r="AA36" s="649"/>
      <c r="AB36" s="649"/>
      <c r="AC36" s="649"/>
    </row>
    <row r="37" spans="1:33" s="652" customFormat="1">
      <c r="A37" s="715"/>
      <c r="B37" s="709" t="str">
        <f>IF(C19="sugar cane","Amount of filter cake applied to the field:","")</f>
        <v/>
      </c>
      <c r="C37" s="810"/>
      <c r="D37" s="693" t="str">
        <f>IF(C19="sugar cane","kg of filter cake dm/kg sugar cane fm","")</f>
        <v/>
      </c>
      <c r="E37" s="697"/>
      <c r="F37" s="697"/>
      <c r="G37" s="697"/>
      <c r="H37" s="696" t="str">
        <f>IF(C19="sugar cane", "RED used by default 0.01","")</f>
        <v/>
      </c>
      <c r="I37" s="698"/>
      <c r="J37" s="649"/>
      <c r="K37" s="649"/>
      <c r="L37" s="649"/>
      <c r="M37" s="649"/>
      <c r="N37" s="649"/>
      <c r="O37" s="649"/>
      <c r="P37" s="649"/>
      <c r="Q37" s="649"/>
      <c r="R37" s="649"/>
      <c r="S37" s="649"/>
      <c r="T37" s="649"/>
      <c r="U37" s="649"/>
      <c r="V37" s="649"/>
      <c r="W37" s="649"/>
      <c r="X37" s="649"/>
      <c r="Y37" s="649"/>
      <c r="Z37" s="649"/>
      <c r="AA37" s="649"/>
      <c r="AB37" s="649"/>
      <c r="AC37" s="649"/>
    </row>
    <row r="38" spans="1:33" s="652" customFormat="1">
      <c r="A38" s="715"/>
      <c r="B38" s="709" t="str">
        <f>IF(C19="sugar cane","N content of vignasse applied to the field:","")</f>
        <v/>
      </c>
      <c r="C38" s="810"/>
      <c r="D38" s="693" t="str">
        <f>IF(C19="sugar cane","kg N / t vignasse","")</f>
        <v/>
      </c>
      <c r="E38" s="697"/>
      <c r="F38" s="697"/>
      <c r="G38" s="697"/>
      <c r="H38" s="696" t="str">
        <f>IF(C19="sugar cane", "RED used by default 0.36","")</f>
        <v/>
      </c>
      <c r="I38" s="698"/>
      <c r="J38" s="649"/>
      <c r="K38" s="649"/>
      <c r="L38" s="649"/>
      <c r="M38" s="649"/>
      <c r="N38" s="649"/>
      <c r="O38" s="649"/>
      <c r="P38" s="649"/>
      <c r="Q38" s="649"/>
      <c r="R38" s="649"/>
      <c r="S38" s="649"/>
      <c r="T38" s="649"/>
      <c r="U38" s="649"/>
      <c r="V38" s="649"/>
      <c r="W38" s="649"/>
      <c r="X38" s="649"/>
      <c r="Y38" s="649"/>
      <c r="Z38" s="649"/>
      <c r="AA38" s="649"/>
      <c r="AB38" s="649"/>
      <c r="AC38" s="649"/>
    </row>
    <row r="39" spans="1:33" s="652" customFormat="1">
      <c r="A39" s="715"/>
      <c r="B39" s="709" t="str">
        <f>IF(C19="sugar cane","N content of filter cake applied to the field:","")</f>
        <v/>
      </c>
      <c r="C39" s="811"/>
      <c r="D39" s="693" t="str">
        <f>IF(C19="sugar cane","kg N / t filter cake","")</f>
        <v/>
      </c>
      <c r="E39" s="697"/>
      <c r="F39" s="697"/>
      <c r="G39" s="697"/>
      <c r="H39" s="696" t="str">
        <f>IF(C19="sugar cane", "RED used by default 12.5","")</f>
        <v/>
      </c>
      <c r="I39" s="698"/>
      <c r="J39" s="649"/>
      <c r="K39" s="649"/>
      <c r="L39" s="649"/>
      <c r="M39" s="649"/>
      <c r="N39" s="649"/>
      <c r="O39" s="649"/>
      <c r="P39" s="649"/>
      <c r="Q39" s="649"/>
      <c r="R39" s="649"/>
      <c r="S39" s="649"/>
      <c r="T39" s="649"/>
      <c r="U39" s="649"/>
      <c r="V39" s="649"/>
      <c r="W39" s="649"/>
      <c r="X39" s="649"/>
      <c r="Y39" s="649"/>
      <c r="Z39" s="649"/>
      <c r="AA39" s="649"/>
      <c r="AB39" s="649"/>
      <c r="AC39" s="649"/>
    </row>
    <row r="40" spans="1:33" s="34" customFormat="1">
      <c r="A40" s="803"/>
      <c r="B40" s="804"/>
      <c r="C40" s="774"/>
      <c r="D40" s="699"/>
      <c r="E40" s="700"/>
      <c r="F40" s="700"/>
      <c r="G40" s="700"/>
      <c r="H40" s="700"/>
      <c r="I40" s="701"/>
      <c r="J40" s="641"/>
      <c r="K40" s="641"/>
      <c r="L40" s="641"/>
      <c r="M40" s="641"/>
      <c r="N40" s="641"/>
      <c r="O40" s="641"/>
      <c r="P40" s="641"/>
      <c r="Q40" s="641"/>
      <c r="R40" s="641"/>
      <c r="S40" s="641"/>
      <c r="T40" s="641"/>
      <c r="U40" s="641"/>
      <c r="V40" s="641"/>
      <c r="W40" s="641"/>
      <c r="X40" s="641"/>
      <c r="Y40" s="641"/>
      <c r="Z40" s="641"/>
      <c r="AA40" s="641"/>
      <c r="AB40" s="641"/>
      <c r="AC40" s="641"/>
    </row>
    <row r="41" spans="1:33" s="34" customFormat="1" ht="14.25">
      <c r="A41" s="654"/>
      <c r="B41" s="654"/>
      <c r="C41" s="653"/>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row>
    <row r="42" spans="1:33" s="613" customFormat="1" ht="18.75">
      <c r="A42" s="703" t="s">
        <v>1215</v>
      </c>
      <c r="B42" s="741"/>
      <c r="C42" s="895" t="s">
        <v>1216</v>
      </c>
      <c r="D42" s="895"/>
      <c r="E42" s="666"/>
      <c r="F42" s="665"/>
      <c r="G42" s="665"/>
      <c r="H42" s="665"/>
      <c r="I42" s="667"/>
      <c r="J42" s="642"/>
      <c r="K42" s="642"/>
      <c r="L42" s="642"/>
      <c r="M42" s="642"/>
      <c r="N42" s="642"/>
      <c r="O42" s="642"/>
      <c r="P42" s="642"/>
      <c r="Q42" s="642"/>
      <c r="R42" s="642"/>
      <c r="S42" s="642"/>
      <c r="T42" s="642"/>
      <c r="U42" s="642"/>
      <c r="V42" s="642"/>
      <c r="W42" s="642"/>
      <c r="X42" s="642"/>
      <c r="Y42" s="642"/>
      <c r="Z42" s="642"/>
      <c r="AA42" s="642"/>
      <c r="AB42" s="642"/>
      <c r="AC42" s="642"/>
    </row>
    <row r="43" spans="1:33" s="615" customFormat="1" ht="20.25" customHeight="1">
      <c r="A43" s="848" t="s">
        <v>1028</v>
      </c>
      <c r="B43" s="743"/>
      <c r="C43" s="711"/>
      <c r="D43" s="711"/>
      <c r="E43" s="711"/>
      <c r="F43" s="711"/>
      <c r="G43" s="711"/>
      <c r="H43" s="711"/>
      <c r="I43" s="712"/>
      <c r="J43" s="644"/>
      <c r="K43" s="775" t="s">
        <v>1296</v>
      </c>
      <c r="L43" s="758" t="s">
        <v>1204</v>
      </c>
      <c r="M43" s="758"/>
      <c r="N43" s="780" t="s">
        <v>1073</v>
      </c>
      <c r="O43" s="641"/>
      <c r="P43" s="775" t="s">
        <v>1297</v>
      </c>
      <c r="Q43" s="758" t="s">
        <v>1205</v>
      </c>
      <c r="R43" s="758"/>
      <c r="S43" s="759" t="s">
        <v>1074</v>
      </c>
      <c r="T43" s="641"/>
      <c r="U43" s="757" t="s">
        <v>1298</v>
      </c>
      <c r="V43" s="775" t="s">
        <v>1075</v>
      </c>
      <c r="W43" s="758" t="s">
        <v>1030</v>
      </c>
      <c r="X43" s="758" t="s">
        <v>1031</v>
      </c>
      <c r="Y43" s="758" t="s">
        <v>1076</v>
      </c>
      <c r="Z43" s="758" t="s">
        <v>1345</v>
      </c>
      <c r="AA43" s="758" t="s">
        <v>1077</v>
      </c>
      <c r="AB43" s="758" t="s">
        <v>1078</v>
      </c>
      <c r="AC43" s="758" t="s">
        <v>1079</v>
      </c>
      <c r="AD43" s="758" t="s">
        <v>1080</v>
      </c>
      <c r="AE43" s="758" t="s">
        <v>1081</v>
      </c>
      <c r="AF43" s="758" t="s">
        <v>1032</v>
      </c>
      <c r="AG43" s="866" t="s">
        <v>1283</v>
      </c>
    </row>
    <row r="44" spans="1:33" s="34" customFormat="1" ht="15.75">
      <c r="A44" s="752" t="s">
        <v>1338</v>
      </c>
      <c r="B44" s="625"/>
      <c r="C44" s="670"/>
      <c r="D44" s="670"/>
      <c r="E44" s="670"/>
      <c r="F44" s="670"/>
      <c r="G44" s="670"/>
      <c r="H44" s="670"/>
      <c r="I44" s="695"/>
      <c r="J44" s="641"/>
      <c r="K44" s="710" t="s">
        <v>1041</v>
      </c>
      <c r="L44" s="871">
        <f>VLOOKUP(C19,U44:AE55,5,FALSE)*1000</f>
        <v>5151.6230000000005</v>
      </c>
      <c r="M44" s="743" t="s">
        <v>837</v>
      </c>
      <c r="N44" s="755"/>
      <c r="O44" s="641"/>
      <c r="P44" s="710"/>
      <c r="Q44" s="762" t="s">
        <v>1340</v>
      </c>
      <c r="R44" s="760" t="s">
        <v>1069</v>
      </c>
      <c r="S44" s="761" t="s">
        <v>1070</v>
      </c>
      <c r="T44" s="641"/>
      <c r="U44" s="710" t="s">
        <v>1346</v>
      </c>
      <c r="V44" s="764">
        <v>1.6E-2</v>
      </c>
      <c r="W44" s="767">
        <v>1.07</v>
      </c>
      <c r="X44" s="767">
        <v>1.54</v>
      </c>
      <c r="Y44" s="767">
        <f t="shared" ref="Y44:Y50" si="0">W44*$C$22/1000+X44</f>
        <v>4.8220109999999998</v>
      </c>
      <c r="Z44" s="767">
        <f t="shared" ref="Z44:Z51" si="1">(Y44*1000+$C$22)/$C$22</f>
        <v>2.5720702246275224</v>
      </c>
      <c r="AA44" s="767">
        <f>Y44*1000/$C$22</f>
        <v>1.5720702246275222</v>
      </c>
      <c r="AB44" s="767">
        <v>0.2</v>
      </c>
      <c r="AC44" s="763">
        <v>1.4E-2</v>
      </c>
      <c r="AD44" s="767">
        <f t="shared" ref="AD44:AD50" si="2">AB44*Z44</f>
        <v>0.51441404492550447</v>
      </c>
      <c r="AE44" s="767">
        <f t="shared" ref="AE44:AE51" si="3">AD44*$C$22/1000</f>
        <v>1.5778622</v>
      </c>
      <c r="AF44" s="767">
        <v>16.3</v>
      </c>
      <c r="AG44" s="867" t="s">
        <v>1226</v>
      </c>
    </row>
    <row r="45" spans="1:33" s="34" customFormat="1" ht="15.75">
      <c r="A45" s="685"/>
      <c r="B45" s="670"/>
      <c r="C45" s="670"/>
      <c r="D45" s="670"/>
      <c r="E45" s="670"/>
      <c r="F45" s="670"/>
      <c r="G45" s="670"/>
      <c r="H45" s="670"/>
      <c r="I45" s="714"/>
      <c r="K45" s="685" t="s">
        <v>1043</v>
      </c>
      <c r="L45" s="707">
        <v>1</v>
      </c>
      <c r="M45" s="670"/>
      <c r="N45" s="695"/>
      <c r="O45" s="641"/>
      <c r="P45" s="727" t="s">
        <v>1311</v>
      </c>
      <c r="Q45" s="769">
        <v>15</v>
      </c>
      <c r="R45" s="696">
        <v>10</v>
      </c>
      <c r="S45" s="770">
        <v>30</v>
      </c>
      <c r="T45" s="641"/>
      <c r="U45" s="710" t="s">
        <v>1440</v>
      </c>
      <c r="V45" s="764">
        <v>6.0000000000000001E-3</v>
      </c>
      <c r="W45" s="767">
        <v>1.51</v>
      </c>
      <c r="X45" s="767">
        <v>0.52</v>
      </c>
      <c r="Y45" s="767">
        <f t="shared" si="0"/>
        <v>5.1516230000000007</v>
      </c>
      <c r="Z45" s="767">
        <f t="shared" si="1"/>
        <v>2.6795302057183843</v>
      </c>
      <c r="AA45" s="767">
        <f t="shared" ref="AA45:AA51" si="4">Y45*1000/$C$22</f>
        <v>1.6795302057183843</v>
      </c>
      <c r="AB45" s="767">
        <v>0.24</v>
      </c>
      <c r="AC45" s="763">
        <v>8.9999999999999993E-3</v>
      </c>
      <c r="AD45" s="767">
        <f t="shared" si="2"/>
        <v>0.64308724937241224</v>
      </c>
      <c r="AE45" s="767">
        <f t="shared" si="3"/>
        <v>1.9725415200000003</v>
      </c>
      <c r="AF45" s="767">
        <v>17</v>
      </c>
      <c r="AG45" s="867" t="s">
        <v>1226</v>
      </c>
    </row>
    <row r="46" spans="1:33" s="34" customFormat="1" ht="21" customHeight="1">
      <c r="A46" s="685"/>
      <c r="B46" s="696" t="s">
        <v>1082</v>
      </c>
      <c r="C46" s="738">
        <v>93.885500000000008</v>
      </c>
      <c r="D46" s="670" t="s">
        <v>862</v>
      </c>
      <c r="E46" s="670" t="s">
        <v>1064</v>
      </c>
      <c r="F46" s="670"/>
      <c r="G46" s="670"/>
      <c r="H46" s="670"/>
      <c r="I46" s="714"/>
      <c r="K46" s="685" t="s">
        <v>1077</v>
      </c>
      <c r="L46" s="756">
        <f>VLOOKUP(C19,U44:AE55,7,FALSE)</f>
        <v>1.6795302057183843</v>
      </c>
      <c r="M46" s="670"/>
      <c r="N46" s="695"/>
      <c r="O46" s="641"/>
      <c r="P46" s="727" t="s">
        <v>1312</v>
      </c>
      <c r="Q46" s="769">
        <v>10</v>
      </c>
      <c r="R46" s="696">
        <v>8</v>
      </c>
      <c r="S46" s="770">
        <v>15</v>
      </c>
      <c r="T46" s="641"/>
      <c r="U46" s="710" t="s">
        <v>1435</v>
      </c>
      <c r="V46" s="764">
        <v>6.0000000000000001E-3</v>
      </c>
      <c r="W46" s="767">
        <v>1.03</v>
      </c>
      <c r="X46" s="767">
        <v>0.61</v>
      </c>
      <c r="Y46" s="767">
        <f t="shared" si="0"/>
        <v>3.7693190000000003</v>
      </c>
      <c r="Z46" s="767">
        <f t="shared" si="1"/>
        <v>2.2288719720927199</v>
      </c>
      <c r="AA46" s="767">
        <f t="shared" si="4"/>
        <v>1.2288719720927201</v>
      </c>
      <c r="AB46" s="767">
        <v>0.22</v>
      </c>
      <c r="AC46" s="763">
        <v>7.0000000000000001E-3</v>
      </c>
      <c r="AD46" s="767">
        <f t="shared" si="2"/>
        <v>0.49035183386039838</v>
      </c>
      <c r="AE46" s="767">
        <f t="shared" si="3"/>
        <v>1.5040561800000001</v>
      </c>
      <c r="AF46" s="767">
        <v>18.5</v>
      </c>
      <c r="AG46" s="867" t="s">
        <v>1226</v>
      </c>
    </row>
    <row r="47" spans="1:33" s="34" customFormat="1" ht="15.75">
      <c r="A47" s="685"/>
      <c r="B47" s="696" t="s">
        <v>1042</v>
      </c>
      <c r="C47" s="738">
        <v>0</v>
      </c>
      <c r="D47" s="670" t="s">
        <v>862</v>
      </c>
      <c r="E47" s="670" t="s">
        <v>1065</v>
      </c>
      <c r="F47" s="670"/>
      <c r="G47" s="670"/>
      <c r="H47" s="670"/>
      <c r="I47" s="714"/>
      <c r="K47" s="685" t="s">
        <v>1046</v>
      </c>
      <c r="L47" s="670">
        <f>VLOOKUP(C19,U44:V55,2,FALSE)</f>
        <v>6.0000000000000001E-3</v>
      </c>
      <c r="M47" s="670"/>
      <c r="N47" s="695"/>
      <c r="O47" s="641"/>
      <c r="P47" s="685"/>
      <c r="Q47" s="670"/>
      <c r="R47" s="670"/>
      <c r="S47" s="695"/>
      <c r="T47" s="641"/>
      <c r="U47" s="710" t="s">
        <v>1424</v>
      </c>
      <c r="V47" s="764"/>
      <c r="W47" s="767"/>
      <c r="X47" s="767"/>
      <c r="Y47" s="767">
        <f t="shared" si="0"/>
        <v>0</v>
      </c>
      <c r="Z47" s="767">
        <f t="shared" si="1"/>
        <v>1</v>
      </c>
      <c r="AA47" s="767">
        <f t="shared" si="4"/>
        <v>0</v>
      </c>
      <c r="AB47" s="767"/>
      <c r="AC47" s="763"/>
      <c r="AD47" s="767">
        <f t="shared" si="2"/>
        <v>0</v>
      </c>
      <c r="AE47" s="767">
        <f t="shared" si="3"/>
        <v>0</v>
      </c>
      <c r="AF47" s="767">
        <v>19.600000000000001</v>
      </c>
      <c r="AG47" s="867" t="s">
        <v>1226</v>
      </c>
    </row>
    <row r="48" spans="1:33" s="34" customFormat="1" ht="15.75">
      <c r="A48" s="685"/>
      <c r="B48" s="696" t="s">
        <v>1044</v>
      </c>
      <c r="C48" s="769">
        <f>L52</f>
        <v>48.662611680000012</v>
      </c>
      <c r="D48" s="670" t="s">
        <v>862</v>
      </c>
      <c r="E48" s="670" t="s">
        <v>1029</v>
      </c>
      <c r="F48" s="670"/>
      <c r="G48" s="670"/>
      <c r="H48" s="670"/>
      <c r="I48" s="714"/>
      <c r="K48" s="685" t="s">
        <v>1047</v>
      </c>
      <c r="L48" s="707">
        <f>C23/L46/C22</f>
        <v>0</v>
      </c>
      <c r="M48" s="670"/>
      <c r="N48" s="695"/>
      <c r="O48" s="641"/>
      <c r="P48" s="772" t="s">
        <v>1045</v>
      </c>
      <c r="Q48" s="773">
        <f>IF(C28="arable to arable land",C29/Q46*1000,C29/Q45*1000)</f>
        <v>0</v>
      </c>
      <c r="R48" s="774" t="s">
        <v>1033</v>
      </c>
      <c r="S48" s="925" t="s">
        <v>1300</v>
      </c>
      <c r="T48" s="641"/>
      <c r="U48" s="710" t="s">
        <v>1416</v>
      </c>
      <c r="V48" s="764">
        <v>6.0000000000000001E-3</v>
      </c>
      <c r="W48" s="767">
        <v>1.0900000000000001</v>
      </c>
      <c r="X48" s="767">
        <v>0.88</v>
      </c>
      <c r="Y48" s="767">
        <f t="shared" si="0"/>
        <v>4.2233570000000009</v>
      </c>
      <c r="Z48" s="767">
        <f t="shared" si="1"/>
        <v>2.3768972712157272</v>
      </c>
      <c r="AA48" s="767">
        <f t="shared" si="4"/>
        <v>1.3768972712157275</v>
      </c>
      <c r="AB48" s="767">
        <v>0.22</v>
      </c>
      <c r="AC48" s="763">
        <v>8.9999999999999993E-3</v>
      </c>
      <c r="AD48" s="767">
        <f t="shared" si="2"/>
        <v>0.52291739966745998</v>
      </c>
      <c r="AE48" s="767">
        <f t="shared" si="3"/>
        <v>1.6039445400000001</v>
      </c>
      <c r="AF48" s="767">
        <v>26.4</v>
      </c>
      <c r="AG48" s="867" t="s">
        <v>1226</v>
      </c>
    </row>
    <row r="49" spans="1:33" s="34" customFormat="1" ht="15.75">
      <c r="A49" s="685"/>
      <c r="B49" s="696" t="s">
        <v>1045</v>
      </c>
      <c r="C49" s="787">
        <f>Q48</f>
        <v>0</v>
      </c>
      <c r="D49" s="670" t="s">
        <v>862</v>
      </c>
      <c r="E49" s="670" t="s">
        <v>1066</v>
      </c>
      <c r="F49" s="670"/>
      <c r="G49" s="670"/>
      <c r="H49" s="670"/>
      <c r="I49" s="714"/>
      <c r="K49" s="685" t="s">
        <v>1080</v>
      </c>
      <c r="L49" s="708">
        <f>VLOOKUP(C19,U44:AE55,10,FALSE)</f>
        <v>0.64308724937241224</v>
      </c>
      <c r="M49" s="670"/>
      <c r="N49" s="695"/>
      <c r="O49" s="641"/>
      <c r="P49" s="777" t="s">
        <v>1339</v>
      </c>
      <c r="Q49" s="778"/>
      <c r="R49" s="778"/>
      <c r="S49" s="779"/>
      <c r="T49" s="641"/>
      <c r="U49" s="710" t="s">
        <v>898</v>
      </c>
      <c r="V49" s="764">
        <v>6.0000000000000001E-3</v>
      </c>
      <c r="W49" s="767">
        <v>1.0900000000000001</v>
      </c>
      <c r="X49" s="767">
        <v>0.88</v>
      </c>
      <c r="Y49" s="767">
        <f t="shared" si="0"/>
        <v>4.2233570000000009</v>
      </c>
      <c r="Z49" s="767">
        <f t="shared" si="1"/>
        <v>2.3768972712157272</v>
      </c>
      <c r="AA49" s="767">
        <f t="shared" si="4"/>
        <v>1.3768972712157275</v>
      </c>
      <c r="AB49" s="767">
        <v>0.22</v>
      </c>
      <c r="AC49" s="763">
        <v>8.9999999999999993E-3</v>
      </c>
      <c r="AD49" s="767">
        <f t="shared" si="2"/>
        <v>0.52291739966745998</v>
      </c>
      <c r="AE49" s="767">
        <f t="shared" si="3"/>
        <v>1.6039445400000001</v>
      </c>
      <c r="AF49" s="767">
        <v>26.4</v>
      </c>
      <c r="AG49" s="867" t="s">
        <v>1226</v>
      </c>
    </row>
    <row r="50" spans="1:33" s="34" customFormat="1" ht="15.75">
      <c r="A50" s="786"/>
      <c r="B50" s="37"/>
      <c r="C50" s="37"/>
      <c r="D50" s="37"/>
      <c r="E50" s="37"/>
      <c r="F50" s="37"/>
      <c r="G50" s="37"/>
      <c r="H50" s="37"/>
      <c r="I50" s="714"/>
      <c r="K50" s="685" t="s">
        <v>1048</v>
      </c>
      <c r="L50" s="756">
        <f>VLOOKUP(C19,U44:AE55,9,FALSE)</f>
        <v>8.9999999999999993E-3</v>
      </c>
      <c r="M50" s="670"/>
      <c r="N50" s="695"/>
      <c r="O50" s="641"/>
      <c r="P50" s="641"/>
      <c r="Q50" s="641"/>
      <c r="R50" s="653"/>
      <c r="S50" s="641"/>
      <c r="T50" s="641"/>
      <c r="U50" s="710" t="s">
        <v>1445</v>
      </c>
      <c r="V50" s="764">
        <v>8.0000000000000002E-3</v>
      </c>
      <c r="W50" s="767">
        <v>0.93</v>
      </c>
      <c r="X50" s="767">
        <v>1.35</v>
      </c>
      <c r="Y50" s="767">
        <f t="shared" si="0"/>
        <v>4.2025890000000006</v>
      </c>
      <c r="Z50" s="767">
        <f t="shared" si="1"/>
        <v>2.3701264956150361</v>
      </c>
      <c r="AA50" s="767">
        <f t="shared" si="4"/>
        <v>1.3701264956150363</v>
      </c>
      <c r="AB50" s="767">
        <v>0.19</v>
      </c>
      <c r="AC50" s="763">
        <v>8.0000000000000002E-3</v>
      </c>
      <c r="AD50" s="767">
        <f t="shared" si="2"/>
        <v>0.45032403416685685</v>
      </c>
      <c r="AE50" s="767">
        <f t="shared" si="3"/>
        <v>1.38127891</v>
      </c>
      <c r="AF50" s="767">
        <v>23.529411764705884</v>
      </c>
      <c r="AG50" s="867" t="s">
        <v>1226</v>
      </c>
    </row>
    <row r="51" spans="1:33" s="34" customFormat="1" ht="15.75">
      <c r="A51" s="685"/>
      <c r="B51" s="37"/>
      <c r="C51" s="891" t="s">
        <v>1340</v>
      </c>
      <c r="D51" s="728" t="s">
        <v>1069</v>
      </c>
      <c r="E51" s="729" t="s">
        <v>1070</v>
      </c>
      <c r="F51" s="696"/>
      <c r="G51" s="720"/>
      <c r="H51" s="720"/>
      <c r="I51" s="714"/>
      <c r="K51" s="685" t="s">
        <v>1078</v>
      </c>
      <c r="L51" s="756">
        <f>VLOOKUP(C19,U44:AE55,8,FALSE)</f>
        <v>0.24</v>
      </c>
      <c r="M51" s="670"/>
      <c r="N51" s="695"/>
      <c r="O51" s="641"/>
      <c r="P51" s="641"/>
      <c r="Q51" s="641"/>
      <c r="R51" s="653"/>
      <c r="S51" s="641"/>
      <c r="T51" s="641"/>
      <c r="U51" s="754" t="s">
        <v>1023</v>
      </c>
      <c r="V51" s="766">
        <v>1.0999999999999999E-2</v>
      </c>
      <c r="W51" s="768"/>
      <c r="X51" s="768"/>
      <c r="Y51" s="768">
        <f>C20*C34/1000</f>
        <v>0</v>
      </c>
      <c r="Z51" s="768">
        <f t="shared" si="1"/>
        <v>1</v>
      </c>
      <c r="AA51" s="768">
        <f t="shared" si="4"/>
        <v>0</v>
      </c>
      <c r="AB51" s="768"/>
      <c r="AC51" s="765"/>
      <c r="AD51" s="768"/>
      <c r="AE51" s="768">
        <f t="shared" si="3"/>
        <v>0</v>
      </c>
      <c r="AF51" s="768">
        <v>24</v>
      </c>
      <c r="AG51" s="867" t="s">
        <v>1226</v>
      </c>
    </row>
    <row r="52" spans="1:33" s="34" customFormat="1" ht="14.25">
      <c r="A52" s="888" t="s">
        <v>1271</v>
      </c>
      <c r="B52" s="889" t="s">
        <v>1206</v>
      </c>
      <c r="C52" s="890">
        <v>0.01</v>
      </c>
      <c r="D52" s="838">
        <v>3.0000000000000001E-3</v>
      </c>
      <c r="E52" s="839">
        <v>0.03</v>
      </c>
      <c r="F52" s="696"/>
      <c r="G52" s="696"/>
      <c r="H52" s="696"/>
      <c r="I52" s="714"/>
      <c r="K52" s="713" t="s">
        <v>1073</v>
      </c>
      <c r="L52" s="707">
        <f>IF(C19="Sugar cane",(C36*C38+C37*C39)*C20/1000,C22*L45*(L46*L47*(1-L48)+L49*L50))</f>
        <v>48.662611680000012</v>
      </c>
      <c r="M52" s="670" t="s">
        <v>862</v>
      </c>
      <c r="N52" s="924" t="s">
        <v>1067</v>
      </c>
      <c r="O52" s="641"/>
      <c r="P52" s="641"/>
      <c r="Q52" s="641"/>
      <c r="R52" s="653"/>
      <c r="S52" s="641"/>
      <c r="T52" s="641"/>
      <c r="U52" s="862" t="s">
        <v>1284</v>
      </c>
      <c r="V52" s="764"/>
      <c r="W52" s="767"/>
      <c r="X52" s="767"/>
      <c r="Y52" s="767"/>
      <c r="Z52" s="767"/>
      <c r="AA52" s="767"/>
      <c r="AB52" s="767"/>
      <c r="AC52" s="763"/>
      <c r="AD52" s="767"/>
      <c r="AE52" s="767"/>
      <c r="AF52" s="767"/>
      <c r="AG52" s="867"/>
    </row>
    <row r="53" spans="1:33" s="34" customFormat="1">
      <c r="A53" s="786"/>
      <c r="B53" s="37"/>
      <c r="C53" s="37"/>
      <c r="D53" s="37"/>
      <c r="E53" s="37"/>
      <c r="F53" s="37"/>
      <c r="G53" s="37"/>
      <c r="H53" s="37"/>
      <c r="I53" s="714"/>
      <c r="K53" s="716"/>
      <c r="L53" s="961">
        <f>IF(C19="sugar cane",(C36*C38+C37*C39)*C20/1000,L44*L45*(L47*(1-L48)+L51*L50))</f>
        <v>42.03724368000001</v>
      </c>
      <c r="M53" s="700" t="s">
        <v>862</v>
      </c>
      <c r="N53" s="925" t="s">
        <v>1068</v>
      </c>
      <c r="O53" s="641"/>
      <c r="P53" s="641"/>
      <c r="Q53" s="641"/>
      <c r="R53" s="641"/>
      <c r="S53" s="641"/>
      <c r="T53" s="641"/>
      <c r="U53" s="862" t="s">
        <v>1287</v>
      </c>
      <c r="V53" s="863"/>
      <c r="W53" s="864"/>
      <c r="X53" s="864"/>
      <c r="Y53" s="864"/>
      <c r="Z53" s="864"/>
      <c r="AA53" s="864"/>
      <c r="AB53" s="864"/>
      <c r="AC53" s="865"/>
      <c r="AD53" s="864"/>
      <c r="AE53" s="864"/>
      <c r="AF53" s="864"/>
      <c r="AG53" s="868"/>
    </row>
    <row r="54" spans="1:33" s="34" customFormat="1" ht="15.75">
      <c r="A54" s="786"/>
      <c r="B54" s="37"/>
      <c r="C54" s="3110" t="s">
        <v>863</v>
      </c>
      <c r="D54" s="3115"/>
      <c r="E54" s="3116"/>
      <c r="F54" s="3110" t="s">
        <v>864</v>
      </c>
      <c r="G54" s="3115"/>
      <c r="H54" s="3116"/>
      <c r="I54" s="714"/>
      <c r="K54" s="777" t="s">
        <v>1339</v>
      </c>
      <c r="L54" s="778"/>
      <c r="M54" s="778"/>
      <c r="N54" s="779"/>
      <c r="U54" s="862" t="s">
        <v>1288</v>
      </c>
      <c r="V54" s="863"/>
      <c r="W54" s="864"/>
      <c r="X54" s="864"/>
      <c r="Y54" s="864"/>
      <c r="Z54" s="864"/>
      <c r="AA54" s="864"/>
      <c r="AB54" s="864"/>
      <c r="AC54" s="865"/>
      <c r="AD54" s="864"/>
      <c r="AE54" s="864"/>
      <c r="AF54" s="864"/>
      <c r="AG54" s="868"/>
    </row>
    <row r="55" spans="1:33" s="34" customFormat="1">
      <c r="A55" s="786"/>
      <c r="B55" s="37"/>
      <c r="C55" s="840" t="s">
        <v>1340</v>
      </c>
      <c r="D55" s="728" t="s">
        <v>1069</v>
      </c>
      <c r="E55" s="729" t="s">
        <v>1070</v>
      </c>
      <c r="F55" s="840" t="s">
        <v>1340</v>
      </c>
      <c r="G55" s="728" t="s">
        <v>1069</v>
      </c>
      <c r="H55" s="729" t="s">
        <v>1070</v>
      </c>
      <c r="I55" s="714"/>
      <c r="K55" s="908"/>
      <c r="L55" s="909"/>
      <c r="M55" s="909"/>
      <c r="N55" s="909"/>
      <c r="U55" s="862" t="s">
        <v>1289</v>
      </c>
      <c r="V55" s="863"/>
      <c r="W55" s="864"/>
      <c r="X55" s="864"/>
      <c r="Y55" s="864"/>
      <c r="Z55" s="864"/>
      <c r="AA55" s="864"/>
      <c r="AB55" s="864"/>
      <c r="AC55" s="865"/>
      <c r="AD55" s="864"/>
      <c r="AE55" s="864"/>
      <c r="AF55" s="864"/>
      <c r="AG55" s="868"/>
    </row>
    <row r="56" spans="1:33" s="34" customFormat="1" ht="15" customHeight="1">
      <c r="A56" s="727" t="s">
        <v>1270</v>
      </c>
      <c r="B56" s="887" t="s">
        <v>1049</v>
      </c>
      <c r="C56" s="883">
        <f>SUM(C46:C49)*C52</f>
        <v>1.4254811168000003</v>
      </c>
      <c r="D56" s="885">
        <f>SUM(C46:C49)*D52</f>
        <v>0.4276443350400001</v>
      </c>
      <c r="E56" s="886">
        <f>SUM(C46:C49)*E52</f>
        <v>4.276443350400001</v>
      </c>
      <c r="F56" s="884">
        <f>C56*44/28</f>
        <v>2.2400417549714291</v>
      </c>
      <c r="G56" s="885">
        <f>D56*44/28</f>
        <v>0.67201252649142873</v>
      </c>
      <c r="H56" s="886">
        <f>E56*44/28</f>
        <v>6.7201252649142873</v>
      </c>
      <c r="I56" s="924" t="s">
        <v>1170</v>
      </c>
      <c r="J56" s="655"/>
      <c r="K56" s="653"/>
      <c r="L56" s="653"/>
      <c r="M56" s="641"/>
      <c r="N56" s="641"/>
      <c r="O56" s="641"/>
      <c r="P56" s="641"/>
      <c r="Q56" s="641"/>
      <c r="R56" s="641"/>
      <c r="S56" s="641"/>
      <c r="T56" s="641"/>
      <c r="U56" s="641"/>
      <c r="V56" s="641"/>
      <c r="W56" s="641"/>
      <c r="X56" s="641"/>
      <c r="Y56" s="641"/>
      <c r="Z56" s="641"/>
      <c r="AA56" s="641"/>
      <c r="AB56" s="641"/>
      <c r="AC56" s="641"/>
    </row>
    <row r="57" spans="1:33" s="34" customFormat="1" ht="14.25">
      <c r="A57" s="685"/>
      <c r="B57" s="670"/>
      <c r="C57" s="708"/>
      <c r="D57" s="670"/>
      <c r="E57" s="670"/>
      <c r="F57" s="708"/>
      <c r="G57" s="670"/>
      <c r="H57" s="670"/>
      <c r="I57" s="695"/>
      <c r="J57" s="641"/>
      <c r="K57" s="641"/>
      <c r="L57" s="641"/>
      <c r="M57" s="641"/>
      <c r="N57" s="641"/>
      <c r="O57" s="641"/>
      <c r="P57" s="641"/>
      <c r="Q57" s="641"/>
      <c r="R57" s="641"/>
      <c r="S57" s="641"/>
      <c r="T57" s="641"/>
      <c r="U57" s="757" t="s">
        <v>1218</v>
      </c>
      <c r="V57" s="818" t="s">
        <v>1219</v>
      </c>
      <c r="W57" s="758"/>
      <c r="X57" s="758"/>
      <c r="Y57" s="758"/>
      <c r="Z57" s="758" t="s">
        <v>1232</v>
      </c>
      <c r="AA57" s="758"/>
      <c r="AB57" s="758"/>
      <c r="AC57" s="758"/>
      <c r="AD57" s="758"/>
      <c r="AE57" s="758"/>
      <c r="AF57" s="758"/>
      <c r="AG57" s="780"/>
    </row>
    <row r="58" spans="1:33" s="34" customFormat="1" ht="15.75">
      <c r="A58" s="752" t="s">
        <v>1341</v>
      </c>
      <c r="B58" s="625"/>
      <c r="C58" s="670" t="s">
        <v>1269</v>
      </c>
      <c r="D58" s="670"/>
      <c r="E58" s="670"/>
      <c r="F58" s="670"/>
      <c r="G58" s="670"/>
      <c r="H58" s="670"/>
      <c r="I58" s="695"/>
      <c r="J58" s="641"/>
      <c r="K58" s="641"/>
      <c r="L58" s="641"/>
      <c r="M58" s="641"/>
      <c r="N58" s="641"/>
      <c r="O58" s="641"/>
      <c r="P58" s="641"/>
      <c r="Q58" s="641"/>
      <c r="R58" s="641"/>
      <c r="S58" s="641"/>
      <c r="T58" s="641"/>
      <c r="U58" s="775" t="s">
        <v>1245</v>
      </c>
      <c r="V58" s="917" t="s">
        <v>1246</v>
      </c>
      <c r="W58" s="858"/>
      <c r="X58" s="858"/>
      <c r="Y58" s="776" t="s">
        <v>1229</v>
      </c>
      <c r="Z58" s="3113" t="s">
        <v>1242</v>
      </c>
      <c r="AA58" s="3113"/>
      <c r="AB58" s="3113"/>
      <c r="AC58" s="918"/>
      <c r="AD58" s="858"/>
      <c r="AE58" s="858"/>
      <c r="AF58" s="858"/>
      <c r="AG58" s="859"/>
    </row>
    <row r="59" spans="1:33" s="34" customFormat="1" ht="15" customHeight="1">
      <c r="A59" s="713"/>
      <c r="B59" s="625"/>
      <c r="C59" s="3110" t="s">
        <v>863</v>
      </c>
      <c r="D59" s="3115"/>
      <c r="E59" s="3116"/>
      <c r="F59" s="3110" t="s">
        <v>864</v>
      </c>
      <c r="G59" s="3115"/>
      <c r="H59" s="3116"/>
      <c r="I59" s="695"/>
      <c r="J59" s="641"/>
      <c r="K59" s="641"/>
      <c r="L59" s="641"/>
      <c r="M59" s="641"/>
      <c r="N59" s="641"/>
      <c r="O59" s="641"/>
      <c r="P59" s="641"/>
      <c r="Q59" s="641"/>
      <c r="R59" s="641"/>
      <c r="S59" s="641"/>
      <c r="T59" s="641"/>
      <c r="U59" s="911" t="s">
        <v>1223</v>
      </c>
      <c r="V59" s="913" t="s">
        <v>1225</v>
      </c>
      <c r="W59" s="897"/>
      <c r="X59" s="897"/>
      <c r="Y59" s="910"/>
      <c r="Z59" s="915" t="s">
        <v>1243</v>
      </c>
      <c r="AA59" s="897"/>
      <c r="AB59" s="897"/>
      <c r="AC59" s="896"/>
      <c r="AD59" s="897"/>
      <c r="AE59" s="897"/>
      <c r="AF59" s="897"/>
      <c r="AG59" s="898"/>
    </row>
    <row r="60" spans="1:33" s="34" customFormat="1" ht="17.25" customHeight="1">
      <c r="A60" s="685" t="str">
        <f>IF(C19="sugar cane", "N2O from trash burning","")</f>
        <v/>
      </c>
      <c r="B60" s="670"/>
      <c r="C60" s="841" t="str">
        <f>IF(C19="sugar cane",F60*28/44,"")</f>
        <v/>
      </c>
      <c r="D60" s="842"/>
      <c r="E60" s="842"/>
      <c r="F60" s="841" t="str">
        <f>IF(C19="sugar cane",0.00825*C20/1000,"")</f>
        <v/>
      </c>
      <c r="G60" s="842"/>
      <c r="H60" s="843"/>
      <c r="I60" s="770"/>
      <c r="J60" s="641"/>
      <c r="K60" s="641"/>
      <c r="L60" s="641"/>
      <c r="M60" s="641"/>
      <c r="N60" s="641"/>
      <c r="O60" s="641"/>
      <c r="P60" s="641"/>
      <c r="Q60" s="641"/>
      <c r="R60" s="641"/>
      <c r="S60" s="641"/>
      <c r="T60" s="641"/>
      <c r="U60" s="911" t="s">
        <v>1223</v>
      </c>
      <c r="V60" s="913" t="s">
        <v>1225</v>
      </c>
      <c r="W60" s="897"/>
      <c r="X60" s="897"/>
      <c r="Y60" s="910" t="s">
        <v>1233</v>
      </c>
      <c r="Z60" s="915" t="s">
        <v>1238</v>
      </c>
      <c r="AA60" s="897"/>
      <c r="AB60" s="897"/>
      <c r="AC60" s="896"/>
      <c r="AD60" s="897"/>
      <c r="AE60" s="897"/>
      <c r="AF60" s="897"/>
      <c r="AG60" s="898"/>
    </row>
    <row r="61" spans="1:33" s="34" customFormat="1" ht="15.75" customHeight="1">
      <c r="A61" s="752" t="s">
        <v>1342</v>
      </c>
      <c r="B61" s="670"/>
      <c r="C61" s="670"/>
      <c r="D61" s="670"/>
      <c r="E61" s="670"/>
      <c r="F61" s="708"/>
      <c r="G61" s="670"/>
      <c r="H61" s="670"/>
      <c r="I61" s="695"/>
      <c r="J61" s="641"/>
      <c r="K61" s="641"/>
      <c r="L61" s="641"/>
      <c r="M61" s="641"/>
      <c r="N61" s="641"/>
      <c r="O61" s="641"/>
      <c r="P61" s="641"/>
      <c r="Q61" s="641"/>
      <c r="R61" s="641"/>
      <c r="S61" s="641"/>
      <c r="T61" s="641"/>
      <c r="U61" s="911" t="s">
        <v>1224</v>
      </c>
      <c r="V61" s="3114" t="s">
        <v>1230</v>
      </c>
      <c r="W61" s="3114"/>
      <c r="X61" s="3114"/>
      <c r="Y61" s="910" t="s">
        <v>1234</v>
      </c>
      <c r="Z61" s="915" t="s">
        <v>1240</v>
      </c>
      <c r="AA61" s="897"/>
      <c r="AB61" s="897"/>
      <c r="AC61" s="896"/>
      <c r="AD61" s="897"/>
      <c r="AE61" s="897"/>
      <c r="AF61" s="897"/>
      <c r="AG61" s="898"/>
    </row>
    <row r="62" spans="1:33" s="34" customFormat="1" ht="20.25" customHeight="1">
      <c r="A62" s="752"/>
      <c r="B62" s="670"/>
      <c r="C62" s="3110" t="s">
        <v>863</v>
      </c>
      <c r="D62" s="3115"/>
      <c r="E62" s="3116"/>
      <c r="F62" s="3110" t="s">
        <v>864</v>
      </c>
      <c r="G62" s="3115"/>
      <c r="H62" s="3116"/>
      <c r="I62" s="695"/>
      <c r="J62" s="641"/>
      <c r="K62" s="641"/>
      <c r="L62" s="641"/>
      <c r="M62" s="641"/>
      <c r="N62" s="641"/>
      <c r="O62" s="641"/>
      <c r="P62" s="641"/>
      <c r="Q62" s="641"/>
      <c r="R62" s="641"/>
      <c r="S62" s="641"/>
      <c r="T62" s="641"/>
      <c r="U62" s="911" t="s">
        <v>1031</v>
      </c>
      <c r="V62" s="3114" t="s">
        <v>1231</v>
      </c>
      <c r="W62" s="3114"/>
      <c r="X62" s="3114"/>
      <c r="Y62" s="910" t="s">
        <v>1235</v>
      </c>
      <c r="Z62" s="915" t="s">
        <v>1241</v>
      </c>
      <c r="AA62" s="897"/>
      <c r="AB62" s="897"/>
      <c r="AC62" s="896"/>
      <c r="AD62" s="897"/>
      <c r="AE62" s="897"/>
      <c r="AF62" s="897"/>
      <c r="AG62" s="898"/>
    </row>
    <row r="63" spans="1:33" s="34" customFormat="1" ht="14.25">
      <c r="A63" s="752"/>
      <c r="B63" s="670"/>
      <c r="C63" s="840" t="s">
        <v>1340</v>
      </c>
      <c r="D63" s="728" t="s">
        <v>1069</v>
      </c>
      <c r="E63" s="729" t="s">
        <v>1070</v>
      </c>
      <c r="F63" s="840" t="s">
        <v>1340</v>
      </c>
      <c r="G63" s="728" t="s">
        <v>1069</v>
      </c>
      <c r="H63" s="729" t="s">
        <v>1070</v>
      </c>
      <c r="I63" s="695"/>
      <c r="J63" s="641"/>
      <c r="K63" s="641"/>
      <c r="L63" s="641"/>
      <c r="M63" s="641"/>
      <c r="N63" s="641"/>
      <c r="O63" s="641"/>
      <c r="P63" s="641"/>
      <c r="Q63" s="641"/>
      <c r="R63" s="641"/>
      <c r="S63" s="641"/>
      <c r="T63" s="641"/>
      <c r="U63" s="911" t="s">
        <v>1227</v>
      </c>
      <c r="V63" s="913" t="s">
        <v>1244</v>
      </c>
      <c r="W63" s="897"/>
      <c r="X63" s="897"/>
      <c r="Y63" s="910" t="s">
        <v>1236</v>
      </c>
      <c r="Z63" s="915" t="s">
        <v>1237</v>
      </c>
      <c r="AA63" s="897"/>
      <c r="AB63" s="897"/>
      <c r="AC63" s="896"/>
      <c r="AD63" s="919" t="s">
        <v>1247</v>
      </c>
      <c r="AE63" s="897"/>
      <c r="AF63" s="897"/>
      <c r="AG63" s="898"/>
    </row>
    <row r="64" spans="1:33" s="34" customFormat="1" ht="21.75" customHeight="1">
      <c r="A64" s="869" t="s">
        <v>1291</v>
      </c>
      <c r="B64" s="670"/>
      <c r="C64" s="835">
        <f t="shared" ref="C64:H64" si="5">IF($C$19="Sugar cane",SUM(C56,C60),C56)</f>
        <v>1.4254811168000003</v>
      </c>
      <c r="D64" s="836">
        <f t="shared" si="5"/>
        <v>0.4276443350400001</v>
      </c>
      <c r="E64" s="836">
        <f t="shared" si="5"/>
        <v>4.276443350400001</v>
      </c>
      <c r="F64" s="835">
        <f t="shared" si="5"/>
        <v>2.2400417549714291</v>
      </c>
      <c r="G64" s="836">
        <f t="shared" si="5"/>
        <v>0.67201252649142873</v>
      </c>
      <c r="H64" s="837">
        <f t="shared" si="5"/>
        <v>6.7201252649142873</v>
      </c>
      <c r="I64" s="695"/>
      <c r="J64" s="641"/>
      <c r="K64" s="641"/>
      <c r="L64" s="641"/>
      <c r="M64" s="641"/>
      <c r="N64" s="641"/>
      <c r="O64" s="641"/>
      <c r="P64" s="641"/>
      <c r="Q64" s="641"/>
      <c r="R64" s="641"/>
      <c r="S64" s="641"/>
      <c r="T64" s="641"/>
      <c r="U64" s="912" t="s">
        <v>1228</v>
      </c>
      <c r="V64" s="914" t="s">
        <v>1239</v>
      </c>
      <c r="W64" s="900"/>
      <c r="X64" s="900"/>
      <c r="Y64" s="900"/>
      <c r="Z64" s="916"/>
      <c r="AA64" s="900"/>
      <c r="AB64" s="900"/>
      <c r="AC64" s="899"/>
      <c r="AD64" s="900"/>
      <c r="AE64" s="900"/>
      <c r="AF64" s="900"/>
      <c r="AG64" s="901"/>
    </row>
    <row r="65" spans="1:31" s="34" customFormat="1">
      <c r="A65" s="748"/>
      <c r="B65" s="700"/>
      <c r="C65" s="700"/>
      <c r="D65" s="700"/>
      <c r="E65" s="700"/>
      <c r="F65" s="700"/>
      <c r="G65" s="700"/>
      <c r="H65" s="700"/>
      <c r="I65" s="701"/>
      <c r="J65" s="641"/>
      <c r="K65" s="641"/>
      <c r="L65" s="641"/>
      <c r="M65" s="641"/>
      <c r="N65" s="641"/>
      <c r="O65" s="641"/>
      <c r="P65" s="641"/>
      <c r="Q65" s="641"/>
      <c r="R65" s="641"/>
      <c r="S65" s="641"/>
      <c r="T65" s="641"/>
      <c r="U65" s="641"/>
      <c r="V65" s="641"/>
      <c r="W65" s="641"/>
      <c r="X65" s="641"/>
      <c r="Y65" s="641"/>
      <c r="Z65" s="641"/>
      <c r="AA65" s="641"/>
      <c r="AB65" s="641"/>
      <c r="AC65" s="641"/>
    </row>
    <row r="66" spans="1:31" s="34" customFormat="1" ht="21" customHeight="1">
      <c r="A66" s="641"/>
      <c r="B66" s="641"/>
      <c r="C66" s="656"/>
      <c r="D66" s="641"/>
      <c r="E66" s="641"/>
      <c r="F66" s="656"/>
      <c r="G66" s="641"/>
      <c r="H66" s="641"/>
      <c r="I66" s="641"/>
      <c r="J66" s="641"/>
      <c r="W66" s="641"/>
      <c r="X66" s="641"/>
      <c r="Y66" s="641"/>
      <c r="Z66" s="641"/>
      <c r="AA66" s="641"/>
      <c r="AB66" s="641"/>
      <c r="AC66" s="641"/>
    </row>
    <row r="67" spans="1:31" s="34" customFormat="1" ht="18.75">
      <c r="A67" s="703" t="s">
        <v>1292</v>
      </c>
      <c r="B67" s="741"/>
      <c r="C67" s="895" t="s">
        <v>1217</v>
      </c>
      <c r="D67" s="665"/>
      <c r="E67" s="666"/>
      <c r="F67" s="665"/>
      <c r="G67" s="665"/>
      <c r="H67" s="665"/>
      <c r="I67" s="667"/>
      <c r="J67" s="641"/>
      <c r="K67" s="775" t="s">
        <v>1211</v>
      </c>
      <c r="L67" s="788" t="s">
        <v>1210</v>
      </c>
      <c r="M67" s="892"/>
      <c r="N67" s="892" t="s">
        <v>1050</v>
      </c>
      <c r="O67" s="923" t="s">
        <v>1251</v>
      </c>
      <c r="P67" s="641"/>
      <c r="Q67" s="775" t="s">
        <v>1213</v>
      </c>
      <c r="R67" s="892" t="s">
        <v>1212</v>
      </c>
      <c r="S67" s="892" t="s">
        <v>1051</v>
      </c>
      <c r="T67" s="776"/>
      <c r="U67" s="923" t="s">
        <v>1252</v>
      </c>
      <c r="V67" s="641"/>
      <c r="W67" s="775" t="s">
        <v>1214</v>
      </c>
      <c r="X67" s="788" t="s">
        <v>1172</v>
      </c>
      <c r="Y67" s="788"/>
      <c r="Z67" s="934" t="s">
        <v>1171</v>
      </c>
      <c r="AA67" s="934"/>
      <c r="AB67" s="934"/>
      <c r="AC67" s="934"/>
      <c r="AD67" s="934"/>
      <c r="AE67" s="780"/>
    </row>
    <row r="68" spans="1:31" s="613" customFormat="1" ht="15.75">
      <c r="A68" s="783"/>
      <c r="B68" s="784"/>
      <c r="C68" s="784"/>
      <c r="D68" s="784"/>
      <c r="E68" s="784"/>
      <c r="F68" s="784"/>
      <c r="G68" s="784"/>
      <c r="H68" s="784"/>
      <c r="I68" s="785"/>
      <c r="J68" s="642"/>
      <c r="K68" s="797"/>
      <c r="L68" s="798" t="s">
        <v>1340</v>
      </c>
      <c r="M68" s="799" t="s">
        <v>1343</v>
      </c>
      <c r="N68" s="799" t="s">
        <v>1070</v>
      </c>
      <c r="O68" s="800"/>
      <c r="P68" s="641"/>
      <c r="Q68" s="797"/>
      <c r="R68" s="798" t="s">
        <v>1340</v>
      </c>
      <c r="S68" s="799" t="s">
        <v>1343</v>
      </c>
      <c r="T68" s="799" t="s">
        <v>1070</v>
      </c>
      <c r="U68" s="800"/>
      <c r="V68" s="641"/>
      <c r="W68" s="815" t="s">
        <v>1082</v>
      </c>
      <c r="X68" s="942" t="s">
        <v>1173</v>
      </c>
      <c r="Y68" s="943"/>
      <c r="Z68" s="926"/>
      <c r="AA68" s="926"/>
      <c r="AB68" s="926"/>
      <c r="AC68" s="926"/>
      <c r="AD68" s="926"/>
      <c r="AE68" s="927"/>
    </row>
    <row r="69" spans="1:31" s="34" customFormat="1" ht="15.75">
      <c r="A69" s="786"/>
      <c r="B69" s="37"/>
      <c r="C69" s="774"/>
      <c r="D69" s="774"/>
      <c r="E69" s="774"/>
      <c r="F69" s="696"/>
      <c r="G69" s="696"/>
      <c r="H69" s="696"/>
      <c r="I69" s="857"/>
      <c r="K69" s="753" t="s">
        <v>1082</v>
      </c>
      <c r="L69" s="787">
        <f>C46</f>
        <v>93.885500000000008</v>
      </c>
      <c r="M69" s="696"/>
      <c r="N69" s="709" t="s">
        <v>1064</v>
      </c>
      <c r="O69" s="770" t="s">
        <v>862</v>
      </c>
      <c r="P69" s="641"/>
      <c r="Q69" s="753" t="s">
        <v>1082</v>
      </c>
      <c r="R69" s="769">
        <f>C46</f>
        <v>93.885500000000008</v>
      </c>
      <c r="S69" s="696"/>
      <c r="T69" s="709" t="s">
        <v>1064</v>
      </c>
      <c r="U69" s="770" t="s">
        <v>862</v>
      </c>
      <c r="V69" s="642"/>
      <c r="W69" s="938" t="s">
        <v>1042</v>
      </c>
      <c r="X69" s="936" t="s">
        <v>1174</v>
      </c>
      <c r="Y69" s="928"/>
      <c r="Z69" s="929"/>
      <c r="AA69" s="929"/>
      <c r="AB69" s="929"/>
      <c r="AC69" s="929"/>
      <c r="AD69" s="929"/>
      <c r="AE69" s="905"/>
    </row>
    <row r="70" spans="1:31" s="34" customFormat="1" ht="15.75">
      <c r="A70" s="786"/>
      <c r="B70" s="37"/>
      <c r="C70" s="820" t="s">
        <v>1340</v>
      </c>
      <c r="D70" s="730" t="s">
        <v>1069</v>
      </c>
      <c r="E70" s="731" t="s">
        <v>1070</v>
      </c>
      <c r="F70" s="696"/>
      <c r="G70" s="720"/>
      <c r="H70" s="720"/>
      <c r="I70" s="714"/>
      <c r="K70" s="753" t="s">
        <v>1042</v>
      </c>
      <c r="L70" s="787">
        <f>C47</f>
        <v>0</v>
      </c>
      <c r="M70" s="696"/>
      <c r="N70" s="709" t="s">
        <v>1065</v>
      </c>
      <c r="O70" s="770" t="s">
        <v>862</v>
      </c>
      <c r="P70" s="641"/>
      <c r="Q70" s="753" t="s">
        <v>1042</v>
      </c>
      <c r="R70" s="771">
        <f>C47</f>
        <v>0</v>
      </c>
      <c r="S70" s="696"/>
      <c r="T70" s="709" t="s">
        <v>1065</v>
      </c>
      <c r="U70" s="770" t="s">
        <v>862</v>
      </c>
      <c r="V70" s="641"/>
      <c r="W70" s="938" t="s">
        <v>1044</v>
      </c>
      <c r="X70" s="937" t="s">
        <v>1175</v>
      </c>
      <c r="Y70" s="928"/>
      <c r="Z70" s="929"/>
      <c r="AA70" s="929"/>
      <c r="AB70" s="929"/>
      <c r="AC70" s="929"/>
      <c r="AD70" s="929"/>
      <c r="AE70" s="905"/>
    </row>
    <row r="71" spans="1:31" s="34" customFormat="1" ht="15.75">
      <c r="A71" s="727" t="s">
        <v>1275</v>
      </c>
      <c r="B71" s="820" t="s">
        <v>1279</v>
      </c>
      <c r="C71" s="920">
        <f>L73</f>
        <v>9.3885500000000004</v>
      </c>
      <c r="D71" s="921">
        <f>M73</f>
        <v>2.8165650000000002</v>
      </c>
      <c r="E71" s="922">
        <f>N73</f>
        <v>28.165650000000003</v>
      </c>
      <c r="F71" s="696"/>
      <c r="G71" s="696"/>
      <c r="H71" s="696"/>
      <c r="I71" s="714"/>
      <c r="K71" s="753" t="s">
        <v>1052</v>
      </c>
      <c r="L71" s="944">
        <v>0.2</v>
      </c>
      <c r="M71" s="945">
        <v>0.05</v>
      </c>
      <c r="N71" s="945">
        <v>0.5</v>
      </c>
      <c r="O71" s="770"/>
      <c r="P71" s="641"/>
      <c r="Q71" s="753" t="s">
        <v>1044</v>
      </c>
      <c r="R71" s="696">
        <f>C48</f>
        <v>48.662611680000012</v>
      </c>
      <c r="S71" s="696"/>
      <c r="T71" s="709" t="s">
        <v>1029</v>
      </c>
      <c r="U71" s="770" t="s">
        <v>862</v>
      </c>
      <c r="V71" s="641"/>
      <c r="W71" s="938" t="s">
        <v>1045</v>
      </c>
      <c r="X71" s="936" t="s">
        <v>1176</v>
      </c>
      <c r="Y71" s="928"/>
      <c r="Z71" s="929"/>
      <c r="AA71" s="929"/>
      <c r="AB71" s="929"/>
      <c r="AC71" s="929"/>
      <c r="AD71" s="929"/>
      <c r="AE71" s="905"/>
    </row>
    <row r="72" spans="1:31" s="34" customFormat="1" ht="15.75">
      <c r="A72" s="727" t="s">
        <v>1276</v>
      </c>
      <c r="B72" s="820" t="s">
        <v>1280</v>
      </c>
      <c r="C72" s="920">
        <f>R74</f>
        <v>42.76443350400001</v>
      </c>
      <c r="D72" s="921">
        <f>S74</f>
        <v>14.254811168000003</v>
      </c>
      <c r="E72" s="922">
        <f>T74</f>
        <v>114.03848934400003</v>
      </c>
      <c r="F72" s="696"/>
      <c r="G72" s="696"/>
      <c r="H72" s="696"/>
      <c r="I72" s="714"/>
      <c r="K72" s="753" t="s">
        <v>1053</v>
      </c>
      <c r="L72" s="944">
        <v>0.1</v>
      </c>
      <c r="M72" s="945">
        <v>0.03</v>
      </c>
      <c r="N72" s="945">
        <v>0.3</v>
      </c>
      <c r="O72" s="770"/>
      <c r="P72" s="641"/>
      <c r="Q72" s="753" t="s">
        <v>1045</v>
      </c>
      <c r="R72" s="769">
        <f>C49</f>
        <v>0</v>
      </c>
      <c r="S72" s="696"/>
      <c r="T72" s="709" t="s">
        <v>1066</v>
      </c>
      <c r="U72" s="770" t="s">
        <v>862</v>
      </c>
      <c r="V72" s="641"/>
      <c r="W72" s="938"/>
      <c r="X72" s="936" t="s">
        <v>1177</v>
      </c>
      <c r="Y72" s="930"/>
      <c r="Z72" s="929"/>
      <c r="AA72" s="929"/>
      <c r="AB72" s="929"/>
      <c r="AC72" s="929"/>
      <c r="AD72" s="929"/>
      <c r="AE72" s="905"/>
    </row>
    <row r="73" spans="1:31" s="34" customFormat="1" ht="16.5" customHeight="1">
      <c r="A73" s="786"/>
      <c r="B73" s="37"/>
      <c r="C73" s="37"/>
      <c r="D73" s="37"/>
      <c r="E73" s="37"/>
      <c r="F73" s="37"/>
      <c r="G73" s="37"/>
      <c r="H73" s="37"/>
      <c r="I73" s="714"/>
      <c r="K73" s="791" t="s">
        <v>1277</v>
      </c>
      <c r="L73" s="851">
        <f>($L69*L72+$L70*L71)</f>
        <v>9.3885500000000004</v>
      </c>
      <c r="M73" s="852">
        <f>($L69*M72+$L70*M71)</f>
        <v>2.8165650000000002</v>
      </c>
      <c r="N73" s="852">
        <f>($L69*N72+$L70*N71)</f>
        <v>28.165650000000003</v>
      </c>
      <c r="O73" s="792" t="s">
        <v>836</v>
      </c>
      <c r="P73" s="641"/>
      <c r="Q73" s="753" t="s">
        <v>1055</v>
      </c>
      <c r="R73" s="944">
        <f>IF(C25="no",0,0.3)</f>
        <v>0.3</v>
      </c>
      <c r="S73" s="945">
        <f>IF(C25="no",0,0.1)</f>
        <v>0.1</v>
      </c>
      <c r="T73" s="945">
        <f>IF(C25="no",0,0.8)</f>
        <v>0.8</v>
      </c>
      <c r="U73" s="770"/>
      <c r="V73" s="641"/>
      <c r="W73" s="938" t="s">
        <v>1055</v>
      </c>
      <c r="X73" s="936" t="s">
        <v>1178</v>
      </c>
      <c r="Y73" s="931"/>
      <c r="Z73" s="930"/>
      <c r="AA73" s="930"/>
      <c r="AB73" s="930"/>
      <c r="AC73" s="930"/>
      <c r="AD73" s="930"/>
      <c r="AE73" s="905"/>
    </row>
    <row r="74" spans="1:31" s="34" customFormat="1" ht="18" customHeight="1">
      <c r="A74" s="888" t="s">
        <v>1207</v>
      </c>
      <c r="B74" s="889" t="s">
        <v>1208</v>
      </c>
      <c r="C74" s="890">
        <f>L76</f>
        <v>0.01</v>
      </c>
      <c r="D74" s="838">
        <f>M76</f>
        <v>2E-3</v>
      </c>
      <c r="E74" s="839">
        <f>N76</f>
        <v>0.05</v>
      </c>
      <c r="F74" s="696"/>
      <c r="G74" s="696"/>
      <c r="H74" s="696"/>
      <c r="I74" s="714"/>
      <c r="K74" s="786"/>
      <c r="L74" s="37"/>
      <c r="M74" s="37"/>
      <c r="N74" s="37"/>
      <c r="O74" s="714"/>
      <c r="P74" s="641"/>
      <c r="Q74" s="849" t="s">
        <v>1278</v>
      </c>
      <c r="R74" s="853">
        <f>SUM($R69:$R72)*R73</f>
        <v>42.76443350400001</v>
      </c>
      <c r="S74" s="852">
        <f>SUM($R69:$R72)*S73</f>
        <v>14.254811168000003</v>
      </c>
      <c r="T74" s="852">
        <f>SUM($R69:$R72)*T73</f>
        <v>114.03848934400003</v>
      </c>
      <c r="U74" s="850" t="s">
        <v>865</v>
      </c>
      <c r="V74" s="641"/>
      <c r="W74" s="938" t="s">
        <v>1052</v>
      </c>
      <c r="X74" s="935" t="s">
        <v>1179</v>
      </c>
      <c r="Y74" s="930"/>
      <c r="Z74" s="931"/>
      <c r="AA74" s="931"/>
      <c r="AB74" s="931"/>
      <c r="AC74" s="931"/>
      <c r="AD74" s="931"/>
      <c r="AE74" s="932"/>
    </row>
    <row r="75" spans="1:31" s="34" customFormat="1" ht="15.75">
      <c r="A75" s="888" t="s">
        <v>1272</v>
      </c>
      <c r="B75" s="889" t="s">
        <v>1209</v>
      </c>
      <c r="C75" s="952">
        <f>R76</f>
        <v>7.4999999999999997E-3</v>
      </c>
      <c r="D75" s="838">
        <f>S76</f>
        <v>5.0000000000000001E-4</v>
      </c>
      <c r="E75" s="839">
        <f>T76</f>
        <v>2.5000000000000001E-2</v>
      </c>
      <c r="F75" s="696"/>
      <c r="G75" s="696"/>
      <c r="H75" s="696"/>
      <c r="I75" s="714"/>
      <c r="K75" s="854"/>
      <c r="L75" s="855"/>
      <c r="M75" s="856"/>
      <c r="N75" s="856"/>
      <c r="O75" s="781"/>
      <c r="P75" s="641"/>
      <c r="Q75" s="753"/>
      <c r="R75" s="769"/>
      <c r="S75" s="720"/>
      <c r="T75" s="720"/>
      <c r="U75" s="770"/>
      <c r="V75" s="641"/>
      <c r="W75" s="938" t="s">
        <v>1053</v>
      </c>
      <c r="X75" s="940" t="s">
        <v>1180</v>
      </c>
      <c r="Y75" s="941"/>
      <c r="Z75" s="930"/>
      <c r="AA75" s="930"/>
      <c r="AB75" s="930"/>
      <c r="AC75" s="930"/>
      <c r="AD75" s="930"/>
      <c r="AE75" s="905"/>
    </row>
    <row r="76" spans="1:31" s="34" customFormat="1" ht="15.75">
      <c r="A76" s="786"/>
      <c r="B76" s="37"/>
      <c r="C76" s="37"/>
      <c r="D76" s="37"/>
      <c r="E76" s="37"/>
      <c r="F76" s="37"/>
      <c r="G76" s="37"/>
      <c r="H76" s="37"/>
      <c r="I76" s="714"/>
      <c r="K76" s="782" t="s">
        <v>1054</v>
      </c>
      <c r="L76" s="793">
        <v>0.01</v>
      </c>
      <c r="M76" s="794">
        <v>2E-3</v>
      </c>
      <c r="N76" s="794">
        <v>0.05</v>
      </c>
      <c r="O76" s="781" t="s">
        <v>1344</v>
      </c>
      <c r="P76" s="641"/>
      <c r="Q76" s="782" t="s">
        <v>1056</v>
      </c>
      <c r="R76" s="795">
        <v>7.4999999999999997E-3</v>
      </c>
      <c r="S76" s="796">
        <v>5.0000000000000001E-4</v>
      </c>
      <c r="T76" s="796">
        <v>2.5000000000000001E-2</v>
      </c>
      <c r="U76" s="781" t="s">
        <v>1344</v>
      </c>
      <c r="V76" s="641"/>
      <c r="W76" s="938"/>
      <c r="X76" s="939"/>
      <c r="Y76" s="933"/>
      <c r="Z76" s="933"/>
      <c r="AA76" s="933"/>
      <c r="AB76" s="933"/>
      <c r="AC76" s="933"/>
      <c r="AD76" s="933"/>
      <c r="AE76" s="907"/>
    </row>
    <row r="77" spans="1:31" s="34" customFormat="1">
      <c r="A77" s="786"/>
      <c r="B77" s="37"/>
      <c r="C77" s="37"/>
      <c r="D77" s="37"/>
      <c r="E77" s="37"/>
      <c r="F77" s="37"/>
      <c r="G77" s="37"/>
      <c r="H77" s="37"/>
      <c r="I77" s="714"/>
      <c r="K77" s="777" t="s">
        <v>1339</v>
      </c>
      <c r="L77" s="778"/>
      <c r="M77" s="778"/>
      <c r="N77" s="778"/>
      <c r="O77" s="779"/>
      <c r="P77" s="642"/>
      <c r="Q77" s="777" t="s">
        <v>1339</v>
      </c>
      <c r="R77" s="778"/>
      <c r="S77" s="778"/>
      <c r="T77" s="778"/>
      <c r="U77" s="779"/>
      <c r="V77" s="641"/>
      <c r="W77" s="777"/>
      <c r="X77" s="893"/>
      <c r="Y77" s="893"/>
      <c r="Z77" s="893"/>
      <c r="AA77" s="893"/>
      <c r="AB77" s="893"/>
      <c r="AC77" s="893"/>
      <c r="AD77" s="893"/>
      <c r="AE77" s="894"/>
    </row>
    <row r="78" spans="1:31" s="34" customFormat="1" ht="15.75">
      <c r="A78" s="786"/>
      <c r="B78" s="37"/>
      <c r="C78" s="3110" t="s">
        <v>863</v>
      </c>
      <c r="D78" s="3115"/>
      <c r="E78" s="3116"/>
      <c r="F78" s="3110" t="s">
        <v>864</v>
      </c>
      <c r="G78" s="3115"/>
      <c r="H78" s="3116"/>
      <c r="I78" s="714"/>
      <c r="V78" s="641"/>
      <c r="W78" s="641"/>
      <c r="X78" s="641"/>
      <c r="Y78" s="641"/>
      <c r="Z78" s="641"/>
      <c r="AA78" s="641"/>
      <c r="AB78" s="641"/>
      <c r="AC78" s="641"/>
    </row>
    <row r="79" spans="1:31" s="613" customFormat="1" ht="15.75">
      <c r="A79" s="869" t="s">
        <v>1249</v>
      </c>
      <c r="B79" s="820" t="s">
        <v>1273</v>
      </c>
      <c r="C79" s="823">
        <f t="shared" ref="C79:E80" si="6">C71*C74</f>
        <v>9.3885500000000011E-2</v>
      </c>
      <c r="D79" s="946">
        <f t="shared" si="6"/>
        <v>5.6331300000000009E-3</v>
      </c>
      <c r="E79" s="825">
        <f t="shared" si="6"/>
        <v>1.4082825000000003</v>
      </c>
      <c r="F79" s="858">
        <f t="shared" ref="F79:H80" si="7">C79*44/28</f>
        <v>0.14753435714285715</v>
      </c>
      <c r="G79" s="824">
        <f t="shared" si="7"/>
        <v>8.8520614285714297E-3</v>
      </c>
      <c r="H79" s="825">
        <f t="shared" si="7"/>
        <v>2.2130153571428575</v>
      </c>
      <c r="I79" s="714"/>
      <c r="J79" s="642"/>
      <c r="V79" s="642"/>
      <c r="W79" s="642"/>
      <c r="X79" s="642"/>
      <c r="Y79" s="642"/>
      <c r="Z79" s="642"/>
      <c r="AA79" s="642"/>
      <c r="AB79" s="642"/>
      <c r="AC79" s="642"/>
    </row>
    <row r="80" spans="1:31" s="613" customFormat="1" ht="15.75">
      <c r="A80" s="869" t="s">
        <v>1250</v>
      </c>
      <c r="B80" s="820" t="s">
        <v>1274</v>
      </c>
      <c r="C80" s="883">
        <f t="shared" si="6"/>
        <v>0.32073325128000008</v>
      </c>
      <c r="D80" s="947">
        <f t="shared" si="6"/>
        <v>7.1274055840000019E-3</v>
      </c>
      <c r="E80" s="886">
        <f t="shared" si="6"/>
        <v>2.8509622336000007</v>
      </c>
      <c r="F80" s="884">
        <f t="shared" si="7"/>
        <v>0.50400939486857155</v>
      </c>
      <c r="G80" s="885">
        <f t="shared" si="7"/>
        <v>1.1200208774857145E-2</v>
      </c>
      <c r="H80" s="886">
        <f t="shared" si="7"/>
        <v>4.4800835099428582</v>
      </c>
      <c r="I80" s="714"/>
      <c r="J80" s="642"/>
      <c r="V80" s="642"/>
      <c r="W80" s="642"/>
      <c r="X80" s="642"/>
      <c r="Y80" s="642"/>
      <c r="Z80" s="642"/>
      <c r="AA80" s="642"/>
      <c r="AB80" s="642"/>
      <c r="AC80" s="642"/>
    </row>
    <row r="81" spans="1:29" s="613" customFormat="1">
      <c r="A81" s="716"/>
      <c r="B81" s="744"/>
      <c r="C81" s="718"/>
      <c r="D81" s="700"/>
      <c r="E81" s="700"/>
      <c r="F81" s="718"/>
      <c r="G81" s="700"/>
      <c r="H81" s="700"/>
      <c r="I81" s="719"/>
      <c r="J81" s="642"/>
      <c r="K81" s="642"/>
      <c r="L81" s="642"/>
      <c r="M81" s="642"/>
      <c r="N81" s="642"/>
      <c r="O81" s="642"/>
      <c r="P81" s="642"/>
      <c r="Q81" s="642"/>
      <c r="R81" s="642"/>
      <c r="S81" s="642"/>
      <c r="T81" s="642"/>
      <c r="U81" s="642"/>
      <c r="V81" s="642"/>
      <c r="W81" s="642"/>
      <c r="X81" s="642"/>
      <c r="Y81" s="642"/>
      <c r="Z81" s="642"/>
      <c r="AA81" s="642"/>
      <c r="AB81" s="642"/>
      <c r="AC81" s="642"/>
    </row>
    <row r="82" spans="1:29" s="34" customFormat="1">
      <c r="A82" s="657"/>
      <c r="B82" s="657"/>
      <c r="C82" s="642"/>
      <c r="D82" s="642"/>
      <c r="E82" s="642"/>
      <c r="F82" s="642"/>
      <c r="G82" s="642"/>
      <c r="H82" s="642"/>
      <c r="J82" s="641"/>
      <c r="K82" s="641"/>
      <c r="L82" s="641"/>
      <c r="M82" s="641"/>
      <c r="N82" s="641"/>
      <c r="O82" s="641"/>
      <c r="P82" s="641"/>
      <c r="Q82" s="641"/>
      <c r="R82" s="641"/>
      <c r="S82" s="641"/>
      <c r="T82" s="641"/>
      <c r="U82" s="641"/>
      <c r="V82" s="641"/>
      <c r="W82" s="641"/>
      <c r="X82" s="641"/>
      <c r="Y82" s="641"/>
      <c r="Z82" s="641"/>
      <c r="AA82" s="641"/>
      <c r="AB82" s="641"/>
      <c r="AC82" s="641"/>
    </row>
    <row r="83" spans="1:29" s="34" customFormat="1" ht="17.25" customHeight="1">
      <c r="A83" s="674" t="s">
        <v>1264</v>
      </c>
      <c r="B83" s="740"/>
      <c r="C83" s="675"/>
      <c r="D83" s="675"/>
      <c r="E83" s="675"/>
      <c r="F83" s="676"/>
      <c r="G83" s="677"/>
      <c r="H83" s="678"/>
      <c r="I83" s="679"/>
      <c r="J83" s="641"/>
      <c r="K83" s="641"/>
      <c r="L83" s="641"/>
      <c r="M83" s="641"/>
      <c r="N83" s="641"/>
      <c r="O83" s="641"/>
      <c r="P83" s="641"/>
      <c r="Q83" s="641"/>
      <c r="R83" s="641"/>
      <c r="S83" s="641"/>
      <c r="T83" s="641"/>
      <c r="U83" s="641"/>
      <c r="V83" s="641"/>
      <c r="W83" s="641"/>
      <c r="X83" s="641"/>
      <c r="Y83" s="641"/>
      <c r="Z83" s="641"/>
      <c r="AA83" s="641"/>
      <c r="AB83" s="641"/>
      <c r="AC83" s="641"/>
    </row>
    <row r="84" spans="1:29" s="34" customFormat="1" ht="20.25" customHeight="1">
      <c r="A84" s="721"/>
      <c r="B84" s="745"/>
      <c r="C84" s="717"/>
      <c r="D84" s="717"/>
      <c r="E84" s="717"/>
      <c r="F84" s="717"/>
      <c r="G84" s="717"/>
      <c r="H84" s="717"/>
      <c r="I84" s="722"/>
      <c r="J84" s="641"/>
      <c r="K84" s="641"/>
      <c r="L84" s="641"/>
      <c r="M84" s="641"/>
      <c r="N84" s="641"/>
      <c r="O84" s="641"/>
      <c r="P84" s="641"/>
      <c r="Q84" s="641"/>
      <c r="R84" s="641"/>
      <c r="S84" s="641"/>
      <c r="T84" s="641"/>
      <c r="U84" s="641"/>
      <c r="V84" s="641"/>
      <c r="W84" s="641"/>
      <c r="X84" s="641"/>
      <c r="Y84" s="641"/>
      <c r="Z84" s="641"/>
      <c r="AA84" s="641"/>
      <c r="AB84" s="641"/>
      <c r="AC84" s="641"/>
    </row>
    <row r="85" spans="1:29" s="34" customFormat="1" ht="22.5" customHeight="1">
      <c r="A85" s="821"/>
      <c r="B85" s="822"/>
      <c r="C85" s="3110" t="s">
        <v>863</v>
      </c>
      <c r="D85" s="3111"/>
      <c r="E85" s="3112"/>
      <c r="F85" s="3110" t="s">
        <v>864</v>
      </c>
      <c r="G85" s="3111"/>
      <c r="H85" s="3112"/>
      <c r="I85" s="690"/>
      <c r="J85" s="641"/>
      <c r="K85" s="641"/>
      <c r="L85" s="641"/>
      <c r="M85" s="641"/>
      <c r="N85" s="641"/>
      <c r="O85" s="641"/>
      <c r="P85" s="641"/>
      <c r="Q85" s="641"/>
      <c r="R85" s="641"/>
      <c r="S85" s="641"/>
      <c r="T85" s="641"/>
      <c r="U85" s="641"/>
      <c r="V85" s="641"/>
      <c r="W85" s="641"/>
      <c r="X85" s="641"/>
      <c r="Y85" s="641"/>
      <c r="Z85" s="641"/>
      <c r="AA85" s="641"/>
      <c r="AB85" s="641"/>
      <c r="AC85" s="641"/>
    </row>
    <row r="86" spans="1:29" s="34" customFormat="1" ht="22.5" customHeight="1">
      <c r="A86" s="685"/>
      <c r="B86" s="670"/>
      <c r="C86" s="820" t="s">
        <v>1340</v>
      </c>
      <c r="D86" s="730" t="s">
        <v>1069</v>
      </c>
      <c r="E86" s="731" t="s">
        <v>1070</v>
      </c>
      <c r="F86" s="840" t="s">
        <v>1340</v>
      </c>
      <c r="G86" s="728" t="s">
        <v>1069</v>
      </c>
      <c r="H86" s="729" t="s">
        <v>1070</v>
      </c>
      <c r="I86" s="723"/>
      <c r="J86" s="641"/>
      <c r="K86" s="641"/>
      <c r="L86" s="641"/>
      <c r="M86" s="641"/>
      <c r="N86" s="641"/>
      <c r="O86" s="641"/>
      <c r="P86" s="641"/>
      <c r="Q86" s="641"/>
      <c r="R86" s="641"/>
      <c r="S86" s="641"/>
      <c r="T86" s="641"/>
      <c r="U86" s="641"/>
      <c r="V86" s="641"/>
      <c r="W86" s="641"/>
      <c r="X86" s="641"/>
      <c r="Y86" s="641"/>
      <c r="Z86" s="641"/>
      <c r="AA86" s="641"/>
      <c r="AB86" s="641"/>
      <c r="AC86" s="641"/>
    </row>
    <row r="87" spans="1:29" s="34" customFormat="1" ht="22.5" customHeight="1">
      <c r="A87" s="732"/>
      <c r="B87" s="733" t="s">
        <v>1071</v>
      </c>
      <c r="C87" s="823">
        <f>SUM(C64,C79,C80)</f>
        <v>1.8400998680800005</v>
      </c>
      <c r="D87" s="824">
        <f>SUM(D64,D79,D80)</f>
        <v>0.44040487062400008</v>
      </c>
      <c r="E87" s="825">
        <f>SUM(E64,E79,E80)</f>
        <v>8.535688084000002</v>
      </c>
      <c r="F87" s="823">
        <f t="shared" ref="F87:H89" si="8">C87*44/28</f>
        <v>2.8915855069828575</v>
      </c>
      <c r="G87" s="824">
        <f t="shared" si="8"/>
        <v>0.69206479669485721</v>
      </c>
      <c r="H87" s="825">
        <f t="shared" si="8"/>
        <v>13.413224132000002</v>
      </c>
      <c r="I87" s="723"/>
      <c r="J87" s="641"/>
      <c r="K87" s="641"/>
      <c r="L87" s="641"/>
      <c r="M87" s="641"/>
      <c r="N87" s="641"/>
      <c r="O87" s="641"/>
      <c r="P87" s="641"/>
      <c r="Q87" s="641"/>
      <c r="R87" s="641"/>
      <c r="S87" s="641"/>
      <c r="T87" s="641"/>
      <c r="U87" s="641"/>
      <c r="V87" s="641"/>
      <c r="W87" s="641"/>
      <c r="X87" s="641"/>
      <c r="Y87" s="641"/>
      <c r="Z87" s="641"/>
      <c r="AA87" s="641"/>
      <c r="AB87" s="641"/>
      <c r="AC87" s="641"/>
    </row>
    <row r="88" spans="1:29" s="615" customFormat="1">
      <c r="A88" s="732"/>
      <c r="B88" s="733" t="s">
        <v>1293</v>
      </c>
      <c r="C88" s="829">
        <f>C87/C22*1000</f>
        <v>0.59990867149610416</v>
      </c>
      <c r="D88" s="830">
        <f>D87/C22*1000</f>
        <v>0.14358063137743293</v>
      </c>
      <c r="E88" s="831">
        <f>E87/C22*1000</f>
        <v>2.782801840054772</v>
      </c>
      <c r="F88" s="829">
        <f t="shared" si="8"/>
        <v>0.94271362663673508</v>
      </c>
      <c r="G88" s="830">
        <f t="shared" si="8"/>
        <v>0.22562670645025173</v>
      </c>
      <c r="H88" s="831">
        <f t="shared" si="8"/>
        <v>4.3729743200860707</v>
      </c>
      <c r="I88" s="723"/>
      <c r="J88" s="644"/>
      <c r="K88" s="644"/>
      <c r="L88" s="644"/>
      <c r="M88" s="644"/>
      <c r="N88" s="644"/>
      <c r="O88" s="644"/>
      <c r="P88" s="644"/>
      <c r="Q88" s="644"/>
      <c r="R88" s="644"/>
      <c r="S88" s="644"/>
      <c r="T88" s="644"/>
      <c r="U88" s="644"/>
      <c r="V88" s="644"/>
      <c r="W88" s="644"/>
      <c r="X88" s="644"/>
      <c r="Y88" s="644"/>
      <c r="Z88" s="644"/>
      <c r="AA88" s="644"/>
      <c r="AB88" s="644"/>
      <c r="AC88" s="644"/>
    </row>
    <row r="89" spans="1:29">
      <c r="A89" s="732"/>
      <c r="B89" s="733" t="s">
        <v>1294</v>
      </c>
      <c r="C89" s="832">
        <f>C88/VLOOKUP(C19,U44:AF55,12,FALSE)</f>
        <v>3.5288745382123773E-2</v>
      </c>
      <c r="D89" s="833">
        <f>D88/VLOOKUP(C19,U44:AF51,12,FALSE)</f>
        <v>8.4459194927901729E-3</v>
      </c>
      <c r="E89" s="834">
        <f>E88/VLOOKUP(C19,U44:AF51,12,FALSE)</f>
        <v>0.16369422588557483</v>
      </c>
      <c r="F89" s="826">
        <f t="shared" si="8"/>
        <v>5.5453742743337357E-2</v>
      </c>
      <c r="G89" s="827">
        <f t="shared" si="8"/>
        <v>1.3272159202955987E-2</v>
      </c>
      <c r="H89" s="828">
        <f t="shared" si="8"/>
        <v>0.25723378353447474</v>
      </c>
      <c r="I89" s="723"/>
    </row>
    <row r="90" spans="1:29">
      <c r="A90" s="732"/>
      <c r="B90" s="733"/>
      <c r="C90" s="733"/>
      <c r="D90" s="733"/>
      <c r="E90" s="733"/>
      <c r="F90" s="733"/>
      <c r="G90" s="733"/>
      <c r="H90" s="733"/>
      <c r="I90" s="723"/>
    </row>
    <row r="91" spans="1:29" ht="14.25">
      <c r="A91" s="809" t="s">
        <v>1337</v>
      </c>
      <c r="B91" s="746"/>
      <c r="C91" s="733"/>
      <c r="D91" s="733"/>
      <c r="E91" s="733"/>
      <c r="F91" s="734">
        <f>F87</f>
        <v>2.8915855069828575</v>
      </c>
      <c r="G91" s="951" t="s">
        <v>838</v>
      </c>
      <c r="H91" s="735"/>
      <c r="I91" s="723"/>
    </row>
    <row r="92" spans="1:29">
      <c r="A92" s="724"/>
      <c r="B92" s="725"/>
      <c r="C92" s="725"/>
      <c r="D92" s="725"/>
      <c r="E92" s="725"/>
      <c r="F92" s="725"/>
      <c r="G92" s="725"/>
      <c r="H92" s="725"/>
      <c r="I92" s="726"/>
    </row>
    <row r="93" spans="1:29">
      <c r="F93" s="645"/>
    </row>
    <row r="94" spans="1:29">
      <c r="A94" s="614"/>
      <c r="B94" s="614"/>
      <c r="C94" s="614"/>
      <c r="D94" s="614"/>
      <c r="E94" s="614"/>
      <c r="F94" s="614"/>
      <c r="G94" s="614"/>
      <c r="H94" s="614"/>
      <c r="I94" s="614"/>
    </row>
  </sheetData>
  <mergeCells count="18">
    <mergeCell ref="C54:E54"/>
    <mergeCell ref="F54:H54"/>
    <mergeCell ref="A11:G11"/>
    <mergeCell ref="A12:G12"/>
    <mergeCell ref="A13:G13"/>
    <mergeCell ref="A14:G14"/>
    <mergeCell ref="E25:I25"/>
    <mergeCell ref="C85:E85"/>
    <mergeCell ref="F85:H85"/>
    <mergeCell ref="Z58:AB58"/>
    <mergeCell ref="C59:E59"/>
    <mergeCell ref="F59:H59"/>
    <mergeCell ref="V61:X61"/>
    <mergeCell ref="C78:E78"/>
    <mergeCell ref="F78:H78"/>
    <mergeCell ref="C62:E62"/>
    <mergeCell ref="F62:H62"/>
    <mergeCell ref="V62:X62"/>
  </mergeCells>
  <phoneticPr fontId="138" type="noConversion"/>
  <dataValidations count="3">
    <dataValidation type="list" allowBlank="1" showInputMessage="1" showErrorMessage="1" sqref="C28">
      <formula1>$J$28:$O$28</formula1>
    </dataValidation>
    <dataValidation type="list" allowBlank="1" showInputMessage="1" showErrorMessage="1" sqref="C19">
      <formula1>$K$19:$V$19</formula1>
    </dataValidation>
    <dataValidation type="list" allowBlank="1" showInputMessage="1" showErrorMessage="1" sqref="C25">
      <formula1>$K$25:$M$25</formula1>
    </dataValidation>
  </dataValidations>
  <hyperlinks>
    <hyperlink ref="F29" location="LUC!A1" display="Please, calculate this value by using the LUC sheet"/>
    <hyperlink ref="F30" location="Esca!A1" display="or the ESCAsheet for modified practices"/>
  </hyperlinks>
  <pageMargins left="0.75" right="0.75" top="1" bottom="1" header="0" footer="0"/>
  <headerFooter alignWithMargins="0"/>
  <drawing r:id="rId1"/>
  <legacyDrawing r:id="rId2"/>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dimension ref="A11:Q42"/>
  <sheetViews>
    <sheetView workbookViewId="0">
      <selection activeCell="A11" sqref="A11"/>
    </sheetView>
  </sheetViews>
  <sheetFormatPr defaultRowHeight="12.75"/>
  <cols>
    <col min="3" max="3" width="36.7109375" customWidth="1"/>
    <col min="12" max="12" width="21.7109375" customWidth="1"/>
    <col min="13" max="13" width="19.5703125" customWidth="1"/>
    <col min="14" max="14" width="13.5703125" customWidth="1"/>
    <col min="16" max="16" width="13.140625" customWidth="1"/>
  </cols>
  <sheetData>
    <row r="11" spans="1:17" ht="18">
      <c r="A11" s="2715" t="s">
        <v>1769</v>
      </c>
      <c r="B11" s="2716"/>
      <c r="C11" s="2717"/>
      <c r="D11" s="2717"/>
      <c r="E11" s="2717"/>
      <c r="F11" s="2718"/>
      <c r="G11" s="2719"/>
      <c r="H11" s="2720"/>
      <c r="I11" s="2721"/>
      <c r="J11" s="2719"/>
      <c r="K11" s="2720"/>
      <c r="L11" s="2720"/>
      <c r="M11" s="2720"/>
      <c r="N11" s="2720"/>
      <c r="O11" s="2720"/>
      <c r="P11" s="2720"/>
      <c r="Q11" s="2722">
        <f>[6]About!D11</f>
        <v>0</v>
      </c>
    </row>
    <row r="12" spans="1:17" ht="13.5" thickBot="1">
      <c r="A12" s="2723"/>
      <c r="B12" s="2723"/>
      <c r="C12" s="2723"/>
      <c r="D12" s="2723"/>
      <c r="E12" s="2723"/>
      <c r="F12" s="2723"/>
      <c r="G12" s="2723"/>
      <c r="H12" s="2723"/>
      <c r="I12" s="2723"/>
      <c r="J12" s="2723"/>
      <c r="K12" s="2723"/>
      <c r="L12" s="2723"/>
      <c r="M12" s="2723"/>
      <c r="N12" s="2723"/>
      <c r="O12" s="2723"/>
      <c r="P12" s="2723"/>
      <c r="Q12" s="2723"/>
    </row>
    <row r="13" spans="1:17" ht="15">
      <c r="A13" s="2723"/>
      <c r="B13" s="2724"/>
      <c r="C13" s="2725" t="s">
        <v>1770</v>
      </c>
      <c r="D13" s="2726"/>
      <c r="E13" s="2727"/>
      <c r="F13" s="2727"/>
      <c r="G13" s="2727"/>
      <c r="H13" s="2727"/>
      <c r="I13" s="2728"/>
      <c r="J13" s="2723"/>
      <c r="K13" s="2724"/>
      <c r="L13" s="2725" t="s">
        <v>1771</v>
      </c>
      <c r="M13" s="2727"/>
      <c r="N13" s="2727"/>
      <c r="O13" s="2727"/>
      <c r="P13" s="2727"/>
      <c r="Q13" s="2728"/>
    </row>
    <row r="14" spans="1:17" ht="102">
      <c r="A14" s="2723"/>
      <c r="B14" s="2729"/>
      <c r="C14" s="2730"/>
      <c r="D14" s="2731" t="s">
        <v>1772</v>
      </c>
      <c r="E14" s="3138" t="s">
        <v>1775</v>
      </c>
      <c r="F14" s="3138"/>
      <c r="G14" s="2731" t="s">
        <v>1777</v>
      </c>
      <c r="H14" s="2732" t="s">
        <v>1778</v>
      </c>
      <c r="I14" s="2733"/>
      <c r="J14" s="2723"/>
      <c r="K14" s="2729"/>
      <c r="L14" s="2730"/>
      <c r="M14" s="2730"/>
      <c r="N14" s="2730"/>
      <c r="O14" s="2730"/>
      <c r="P14" s="2730"/>
      <c r="Q14" s="2733"/>
    </row>
    <row r="15" spans="1:17" ht="51">
      <c r="A15" s="2723"/>
      <c r="B15" s="2729"/>
      <c r="C15" s="2730" t="s">
        <v>1773</v>
      </c>
      <c r="D15" s="2732" t="s">
        <v>1774</v>
      </c>
      <c r="E15" s="3138" t="s">
        <v>1776</v>
      </c>
      <c r="F15" s="3138"/>
      <c r="G15" s="2731" t="s">
        <v>1744</v>
      </c>
      <c r="H15" s="2732" t="s">
        <v>1779</v>
      </c>
      <c r="I15" s="2733"/>
      <c r="J15" s="2723"/>
      <c r="K15" s="2729"/>
      <c r="L15" s="2731" t="s">
        <v>1786</v>
      </c>
      <c r="M15" s="2731" t="s">
        <v>1781</v>
      </c>
      <c r="N15" s="2731" t="s">
        <v>1782</v>
      </c>
      <c r="O15" s="2735"/>
      <c r="P15" s="2731" t="s">
        <v>1789</v>
      </c>
      <c r="Q15" s="2733"/>
    </row>
    <row r="16" spans="1:17">
      <c r="A16" s="2723"/>
      <c r="B16" s="2729"/>
      <c r="C16" s="2736"/>
      <c r="D16" s="2737"/>
      <c r="E16" s="3139"/>
      <c r="F16" s="3140"/>
      <c r="G16" s="2738"/>
      <c r="H16" s="2739" t="str">
        <f>IF(D16&gt;0,D16*E16*(1-G16)/3.6,"")</f>
        <v/>
      </c>
      <c r="I16" s="2733"/>
      <c r="J16" s="2723"/>
      <c r="K16" s="2729"/>
      <c r="L16" s="2740" t="s">
        <v>1779</v>
      </c>
      <c r="M16" s="2740" t="s">
        <v>1779</v>
      </c>
      <c r="N16" s="2740" t="s">
        <v>1779</v>
      </c>
      <c r="O16" s="2735"/>
      <c r="P16" s="2740" t="s">
        <v>1779</v>
      </c>
      <c r="Q16" s="2733"/>
    </row>
    <row r="17" spans="1:17">
      <c r="A17" s="2723"/>
      <c r="B17" s="2729"/>
      <c r="C17" s="2742"/>
      <c r="D17" s="2743"/>
      <c r="E17" s="3141"/>
      <c r="F17" s="3142"/>
      <c r="G17" s="2744"/>
      <c r="H17" s="2745" t="str">
        <f t="shared" ref="H17:H24" si="0">IF(D17&gt;0,D17*E17*(1-G17)/3.6,"")</f>
        <v/>
      </c>
      <c r="I17" s="2733"/>
      <c r="J17" s="2723"/>
      <c r="K17" s="2729"/>
      <c r="L17" s="2746"/>
      <c r="M17" s="2747"/>
      <c r="N17" s="2748"/>
      <c r="O17" s="2735"/>
      <c r="P17" s="2749">
        <f>L17-M17-N17</f>
        <v>0</v>
      </c>
      <c r="Q17" s="2733"/>
    </row>
    <row r="18" spans="1:17">
      <c r="A18" s="2723"/>
      <c r="B18" s="2729"/>
      <c r="C18" s="2742"/>
      <c r="D18" s="2743"/>
      <c r="E18" s="3141"/>
      <c r="F18" s="3142"/>
      <c r="G18" s="2744"/>
      <c r="H18" s="2745" t="str">
        <f t="shared" si="0"/>
        <v/>
      </c>
      <c r="I18" s="2733"/>
      <c r="J18" s="2723"/>
      <c r="K18" s="2729"/>
      <c r="L18" s="2730"/>
      <c r="M18" s="2730"/>
      <c r="N18" s="2730"/>
      <c r="O18" s="2735"/>
      <c r="P18" s="2730"/>
      <c r="Q18" s="2733"/>
    </row>
    <row r="19" spans="1:17" ht="63.75">
      <c r="A19" s="2723"/>
      <c r="B19" s="2729"/>
      <c r="C19" s="2750"/>
      <c r="D19" s="2743"/>
      <c r="E19" s="3141"/>
      <c r="F19" s="3143"/>
      <c r="G19" s="2751"/>
      <c r="H19" s="2745" t="str">
        <f t="shared" si="0"/>
        <v/>
      </c>
      <c r="I19" s="2733"/>
      <c r="J19" s="2723"/>
      <c r="K19" s="2729"/>
      <c r="L19" s="2731" t="s">
        <v>1787</v>
      </c>
      <c r="M19" s="2731" t="s">
        <v>1783</v>
      </c>
      <c r="N19" s="2731" t="s">
        <v>1784</v>
      </c>
      <c r="O19" s="2731" t="s">
        <v>1785</v>
      </c>
      <c r="P19" s="2731" t="s">
        <v>1788</v>
      </c>
      <c r="Q19" s="2733"/>
    </row>
    <row r="20" spans="1:17">
      <c r="A20" s="2723"/>
      <c r="B20" s="2729"/>
      <c r="C20" s="2750"/>
      <c r="D20" s="2743"/>
      <c r="E20" s="3141"/>
      <c r="F20" s="3143"/>
      <c r="G20" s="2751"/>
      <c r="H20" s="2745" t="str">
        <f t="shared" si="0"/>
        <v/>
      </c>
      <c r="I20" s="2733"/>
      <c r="J20" s="2723"/>
      <c r="K20" s="2729"/>
      <c r="L20" s="2740" t="s">
        <v>1779</v>
      </c>
      <c r="M20" s="2740" t="s">
        <v>1779</v>
      </c>
      <c r="N20" s="2740" t="s">
        <v>1779</v>
      </c>
      <c r="O20" s="2740" t="s">
        <v>1755</v>
      </c>
      <c r="P20" s="2740" t="s">
        <v>1779</v>
      </c>
      <c r="Q20" s="2733"/>
    </row>
    <row r="21" spans="1:17">
      <c r="A21" s="2723"/>
      <c r="B21" s="2729"/>
      <c r="C21" s="2750"/>
      <c r="D21" s="2743"/>
      <c r="E21" s="3141"/>
      <c r="F21" s="3143"/>
      <c r="G21" s="2751"/>
      <c r="H21" s="2745" t="str">
        <f t="shared" si="0"/>
        <v/>
      </c>
      <c r="I21" s="2733"/>
      <c r="J21" s="2723"/>
      <c r="K21" s="2729"/>
      <c r="L21" s="2752"/>
      <c r="M21" s="2753"/>
      <c r="N21" s="2754"/>
      <c r="O21" s="2754"/>
      <c r="P21" s="2755">
        <f>L21-M21-N21</f>
        <v>0</v>
      </c>
      <c r="Q21" s="2733"/>
    </row>
    <row r="22" spans="1:17">
      <c r="A22" s="2723"/>
      <c r="B22" s="2729"/>
      <c r="C22" s="2750"/>
      <c r="D22" s="2743"/>
      <c r="E22" s="3141"/>
      <c r="F22" s="3143"/>
      <c r="G22" s="2751"/>
      <c r="H22" s="2745" t="str">
        <f t="shared" si="0"/>
        <v/>
      </c>
      <c r="I22" s="2733"/>
      <c r="J22" s="2723"/>
      <c r="K22" s="2729"/>
      <c r="L22" s="2756"/>
      <c r="M22" s="2757"/>
      <c r="N22" s="2758"/>
      <c r="O22" s="2758"/>
      <c r="P22" s="2759">
        <f>L22-M22-N22</f>
        <v>0</v>
      </c>
      <c r="Q22" s="2733"/>
    </row>
    <row r="23" spans="1:17">
      <c r="A23" s="2723"/>
      <c r="B23" s="2729"/>
      <c r="C23" s="2750"/>
      <c r="D23" s="2743"/>
      <c r="E23" s="3141"/>
      <c r="F23" s="3143"/>
      <c r="G23" s="2751"/>
      <c r="H23" s="2745" t="str">
        <f t="shared" si="0"/>
        <v/>
      </c>
      <c r="I23" s="2733"/>
      <c r="J23" s="2723"/>
      <c r="K23" s="2729"/>
      <c r="L23" s="2756"/>
      <c r="M23" s="2757"/>
      <c r="N23" s="2758"/>
      <c r="O23" s="2758"/>
      <c r="P23" s="2759">
        <f>L23-M23-N23</f>
        <v>0</v>
      </c>
      <c r="Q23" s="2733"/>
    </row>
    <row r="24" spans="1:17">
      <c r="A24" s="2723"/>
      <c r="B24" s="2729"/>
      <c r="C24" s="2750"/>
      <c r="D24" s="2743"/>
      <c r="E24" s="3141"/>
      <c r="F24" s="3143"/>
      <c r="G24" s="2751"/>
      <c r="H24" s="2745" t="str">
        <f t="shared" si="0"/>
        <v/>
      </c>
      <c r="I24" s="2733"/>
      <c r="J24" s="2723"/>
      <c r="K24" s="2729"/>
      <c r="L24" s="2760"/>
      <c r="M24" s="2761"/>
      <c r="N24" s="2762"/>
      <c r="O24" s="2762"/>
      <c r="P24" s="2763">
        <f>L24-M24-N24</f>
        <v>0</v>
      </c>
      <c r="Q24" s="2733"/>
    </row>
    <row r="25" spans="1:17">
      <c r="A25" s="2723"/>
      <c r="B25" s="2729"/>
      <c r="C25" s="2764"/>
      <c r="D25" s="2765"/>
      <c r="E25" s="3136"/>
      <c r="F25" s="3137"/>
      <c r="G25" s="2766"/>
      <c r="H25" s="2767" t="str">
        <f>IF(D25&gt;0,D25*E25*(1-G25)/3.6,"")</f>
        <v/>
      </c>
      <c r="I25" s="2733"/>
      <c r="J25" s="2723"/>
      <c r="K25" s="2729"/>
      <c r="L25" s="2735"/>
      <c r="M25" s="2735"/>
      <c r="N25" s="2735"/>
      <c r="O25" s="2735"/>
      <c r="P25" s="2735"/>
      <c r="Q25" s="2733"/>
    </row>
    <row r="26" spans="1:17">
      <c r="A26" s="2723"/>
      <c r="B26" s="2729"/>
      <c r="C26" s="2730"/>
      <c r="D26" s="2730"/>
      <c r="E26" s="2730"/>
      <c r="F26" s="2730"/>
      <c r="G26" s="2730"/>
      <c r="H26" s="2730"/>
      <c r="I26" s="2733"/>
      <c r="J26" s="2723"/>
      <c r="K26" s="2729"/>
      <c r="L26" s="2735"/>
      <c r="M26" s="2730"/>
      <c r="N26" s="2730"/>
      <c r="O26" s="2730"/>
      <c r="P26" s="2740" t="s">
        <v>1779</v>
      </c>
      <c r="Q26" s="2733"/>
    </row>
    <row r="27" spans="1:17">
      <c r="A27" s="2723"/>
      <c r="B27" s="2729"/>
      <c r="C27" s="2730"/>
      <c r="D27" s="2768"/>
      <c r="E27" s="2730"/>
      <c r="F27" s="2730"/>
      <c r="G27" s="2730"/>
      <c r="H27" s="2740" t="s">
        <v>1779</v>
      </c>
      <c r="I27" s="2733"/>
      <c r="J27" s="2723"/>
      <c r="K27" s="2729"/>
      <c r="L27" s="2730" t="s">
        <v>1756</v>
      </c>
      <c r="M27" s="2735"/>
      <c r="N27" s="2735"/>
      <c r="O27" s="2730"/>
      <c r="P27" s="2769">
        <f>SUM(P21:P24)</f>
        <v>0</v>
      </c>
      <c r="Q27" s="2733"/>
    </row>
    <row r="28" spans="1:17">
      <c r="A28" s="2723"/>
      <c r="B28" s="2729"/>
      <c r="C28" s="2730" t="s">
        <v>1780</v>
      </c>
      <c r="D28" s="2730"/>
      <c r="E28" s="2730"/>
      <c r="F28" s="2730"/>
      <c r="G28" s="2730"/>
      <c r="H28" s="2749">
        <f>SUM(H16:H25)</f>
        <v>0</v>
      </c>
      <c r="I28" s="2733"/>
      <c r="J28" s="2723"/>
      <c r="K28" s="2729"/>
      <c r="L28" s="2735"/>
      <c r="M28" s="2735"/>
      <c r="N28" s="2735"/>
      <c r="O28" s="2735"/>
      <c r="P28" s="2735"/>
      <c r="Q28" s="2733"/>
    </row>
    <row r="29" spans="1:17" ht="13.5" thickBot="1">
      <c r="A29" s="2723"/>
      <c r="B29" s="2770"/>
      <c r="C29" s="2771"/>
      <c r="D29" s="2771"/>
      <c r="E29" s="2771"/>
      <c r="F29" s="2771"/>
      <c r="G29" s="2771"/>
      <c r="H29" s="2771"/>
      <c r="I29" s="2772"/>
      <c r="J29" s="2723"/>
      <c r="K29" s="2770"/>
      <c r="L29" s="2771"/>
      <c r="M29" s="2771"/>
      <c r="N29" s="2771"/>
      <c r="O29" s="2771"/>
      <c r="P29" s="2771"/>
      <c r="Q29" s="2772"/>
    </row>
    <row r="30" spans="1:17">
      <c r="A30" s="2723"/>
      <c r="B30" s="2723"/>
      <c r="C30" s="2723"/>
      <c r="D30" s="2723"/>
      <c r="E30" s="2723"/>
      <c r="F30" s="2723"/>
      <c r="G30" s="2723"/>
      <c r="H30" s="2723"/>
      <c r="I30" s="2723"/>
      <c r="J30" s="2723"/>
      <c r="K30" s="2723"/>
      <c r="L30" s="2723"/>
      <c r="M30" s="2723"/>
      <c r="N30" s="2723"/>
      <c r="O30" s="2723"/>
      <c r="P30" s="2723"/>
      <c r="Q30" s="2723"/>
    </row>
    <row r="31" spans="1:17" ht="13.5" thickBot="1">
      <c r="A31" s="2723"/>
      <c r="B31" s="2723"/>
      <c r="C31" s="2723"/>
      <c r="D31" s="2723"/>
      <c r="E31" s="2723"/>
      <c r="F31" s="2723"/>
      <c r="G31" s="2723"/>
      <c r="H31" s="2723"/>
      <c r="I31" s="2723"/>
      <c r="J31" s="2723"/>
      <c r="K31" s="2723"/>
      <c r="L31" s="2723"/>
      <c r="M31" s="2723"/>
      <c r="N31" s="2723"/>
      <c r="O31" s="2723"/>
      <c r="P31" s="2723"/>
      <c r="Q31" s="2723"/>
    </row>
    <row r="32" spans="1:17">
      <c r="A32" s="2723"/>
      <c r="B32" s="2724"/>
      <c r="C32" s="2727"/>
      <c r="D32" s="2727"/>
      <c r="E32" s="2727"/>
      <c r="F32" s="2728"/>
      <c r="G32" s="2723"/>
      <c r="H32" s="2723"/>
      <c r="I32" s="2723"/>
      <c r="J32" s="2723"/>
      <c r="K32" s="2723"/>
      <c r="L32" s="2723"/>
      <c r="M32" s="2723"/>
      <c r="N32" s="2723"/>
      <c r="O32" s="2723"/>
      <c r="P32" s="2723"/>
      <c r="Q32" s="2723"/>
    </row>
    <row r="33" spans="1:17" ht="39">
      <c r="A33" s="2723"/>
      <c r="B33" s="2729"/>
      <c r="C33" s="2773" t="s">
        <v>1758</v>
      </c>
      <c r="D33" s="2740" t="s">
        <v>1744</v>
      </c>
      <c r="E33" s="2731" t="s">
        <v>1793</v>
      </c>
      <c r="F33" s="2733"/>
      <c r="G33" s="2723"/>
      <c r="H33" s="2723"/>
      <c r="I33" s="2723"/>
      <c r="J33" s="2723"/>
      <c r="K33" s="2723"/>
      <c r="L33" s="2723"/>
      <c r="M33" s="2723"/>
      <c r="N33" s="2723"/>
      <c r="O33" s="2723"/>
      <c r="P33" s="2723"/>
      <c r="Q33" s="2723"/>
    </row>
    <row r="34" spans="1:17" ht="18">
      <c r="A34" s="2723"/>
      <c r="B34" s="2775" t="s">
        <v>1760</v>
      </c>
      <c r="C34" s="2730" t="s">
        <v>1790</v>
      </c>
      <c r="D34" s="2776" t="e">
        <f>100*P17/H28</f>
        <v>#DIV/0!</v>
      </c>
      <c r="E34" s="2774" t="s">
        <v>1794</v>
      </c>
      <c r="F34" s="2733"/>
      <c r="G34" s="2723"/>
      <c r="H34" s="2723"/>
      <c r="I34" s="2723"/>
      <c r="J34" s="2723"/>
      <c r="K34" s="2723"/>
      <c r="L34" s="2723"/>
      <c r="M34" s="2723"/>
      <c r="N34" s="2723"/>
      <c r="O34" s="2723"/>
      <c r="P34" s="2723"/>
      <c r="Q34" s="2723"/>
    </row>
    <row r="35" spans="1:17" ht="18">
      <c r="A35" s="2723"/>
      <c r="B35" s="2775" t="s">
        <v>1763</v>
      </c>
      <c r="C35" s="2777" t="str">
        <f>"Ефективність теплоенергії (" &amp; TEXT(O21,0) &amp; "°C)"</f>
        <v>Ефективність теплоенергії (0°C)</v>
      </c>
      <c r="D35" s="2776" t="e">
        <f>100*P21/H28</f>
        <v>#DIV/0!</v>
      </c>
      <c r="E35" s="2769">
        <f>O21</f>
        <v>0</v>
      </c>
      <c r="F35" s="2733"/>
      <c r="G35" s="2723"/>
      <c r="H35" s="2723"/>
      <c r="I35" s="2723"/>
      <c r="J35" s="2723"/>
      <c r="K35" s="2723"/>
      <c r="L35" s="2723"/>
      <c r="M35" s="2723"/>
      <c r="N35" s="2723"/>
      <c r="O35" s="2723"/>
      <c r="P35" s="2723"/>
      <c r="Q35" s="2723"/>
    </row>
    <row r="36" spans="1:17" ht="18">
      <c r="A36" s="2723"/>
      <c r="B36" s="2775" t="s">
        <v>1764</v>
      </c>
      <c r="C36" s="2777" t="str">
        <f>"Ефективність теплоенергії  (" &amp; TEXT(O22,0) &amp; "°C)"</f>
        <v>Ефективність теплоенергії  (0°C)</v>
      </c>
      <c r="D36" s="2776" t="e">
        <f>100*P22/H28</f>
        <v>#DIV/0!</v>
      </c>
      <c r="E36" s="2769">
        <f>O22</f>
        <v>0</v>
      </c>
      <c r="F36" s="2733"/>
      <c r="G36" s="2723"/>
      <c r="H36" s="2723"/>
      <c r="I36" s="2723"/>
      <c r="J36" s="2723"/>
      <c r="K36" s="2723"/>
      <c r="L36" s="2723"/>
      <c r="M36" s="2723"/>
      <c r="N36" s="2723"/>
      <c r="O36" s="2723"/>
      <c r="P36" s="2723"/>
      <c r="Q36" s="2723"/>
    </row>
    <row r="37" spans="1:17" ht="18">
      <c r="A37" s="2723"/>
      <c r="B37" s="2775" t="s">
        <v>1765</v>
      </c>
      <c r="C37" s="2777" t="str">
        <f>"Ефективність теплоенергії  (" &amp; TEXT(O23,0) &amp; "°C)"</f>
        <v>Ефективність теплоенергії  (0°C)</v>
      </c>
      <c r="D37" s="2776" t="e">
        <f>100*P23/H28</f>
        <v>#DIV/0!</v>
      </c>
      <c r="E37" s="2769">
        <f>O23</f>
        <v>0</v>
      </c>
      <c r="F37" s="2733"/>
      <c r="G37" s="2723"/>
      <c r="H37" s="2723"/>
      <c r="I37" s="2723"/>
      <c r="J37" s="2723"/>
      <c r="K37" s="2723"/>
      <c r="L37" s="2723"/>
      <c r="M37" s="2723"/>
      <c r="N37" s="2723"/>
      <c r="O37" s="2723"/>
      <c r="P37" s="2723"/>
      <c r="Q37" s="2723"/>
    </row>
    <row r="38" spans="1:17" ht="18">
      <c r="A38" s="2723"/>
      <c r="B38" s="2775" t="s">
        <v>1766</v>
      </c>
      <c r="C38" s="2777" t="str">
        <f>"Ефективність теплоенергії  (" &amp; TEXT(O24,0) &amp; "°C)"</f>
        <v>Ефективність теплоенергії  (0°C)</v>
      </c>
      <c r="D38" s="2776" t="e">
        <f>100*P24/H28</f>
        <v>#DIV/0!</v>
      </c>
      <c r="E38" s="2769">
        <f>O24</f>
        <v>0</v>
      </c>
      <c r="F38" s="2733"/>
      <c r="G38" s="2723"/>
      <c r="H38" s="2723"/>
      <c r="I38" s="2723"/>
      <c r="J38" s="2723"/>
      <c r="K38" s="2723"/>
      <c r="L38" s="2723"/>
      <c r="M38" s="2723"/>
      <c r="N38" s="2723"/>
      <c r="O38" s="2723"/>
      <c r="P38" s="2723"/>
      <c r="Q38" s="2723"/>
    </row>
    <row r="39" spans="1:17">
      <c r="A39" s="2723"/>
      <c r="B39" s="2775"/>
      <c r="C39" s="2735" t="s">
        <v>1791</v>
      </c>
      <c r="D39" s="2776" t="e">
        <f>SUM(D35:D38)</f>
        <v>#DIV/0!</v>
      </c>
      <c r="E39" s="2730"/>
      <c r="F39" s="2733"/>
      <c r="G39" s="2723"/>
      <c r="H39" s="2723"/>
      <c r="I39" s="2723"/>
      <c r="J39" s="2723"/>
      <c r="K39" s="2723"/>
      <c r="L39" s="2723"/>
      <c r="M39" s="2723"/>
      <c r="N39" s="2723"/>
      <c r="O39" s="2723"/>
      <c r="P39" s="2723"/>
      <c r="Q39" s="2723"/>
    </row>
    <row r="40" spans="1:17">
      <c r="A40" s="2723"/>
      <c r="B40" s="2729"/>
      <c r="C40" s="2730" t="s">
        <v>1792</v>
      </c>
      <c r="D40" s="2776" t="e">
        <f>SUM(D34:D38)</f>
        <v>#DIV/0!</v>
      </c>
      <c r="E40" s="2730"/>
      <c r="F40" s="2733"/>
      <c r="G40" s="2723"/>
      <c r="H40" s="2723"/>
      <c r="I40" s="2723"/>
      <c r="J40" s="2723"/>
      <c r="K40" s="2723"/>
      <c r="L40" s="2723"/>
      <c r="M40" s="2723"/>
      <c r="N40" s="2723"/>
      <c r="O40" s="2723"/>
      <c r="P40" s="2723"/>
      <c r="Q40" s="2723"/>
    </row>
    <row r="41" spans="1:17" ht="13.5" thickBot="1">
      <c r="A41" s="2723"/>
      <c r="B41" s="2770"/>
      <c r="C41" s="2771"/>
      <c r="D41" s="2771"/>
      <c r="E41" s="2771"/>
      <c r="F41" s="2772"/>
      <c r="G41" s="2723"/>
      <c r="H41" s="2723"/>
      <c r="I41" s="2723"/>
      <c r="J41" s="2723"/>
      <c r="K41" s="2723"/>
      <c r="L41" s="2723"/>
      <c r="M41" s="2723"/>
      <c r="N41" s="2723"/>
      <c r="O41" s="2723"/>
      <c r="P41" s="2723"/>
      <c r="Q41" s="2723"/>
    </row>
    <row r="42" spans="1:17">
      <c r="A42" s="2723"/>
      <c r="B42" s="2723"/>
      <c r="C42" s="2723"/>
      <c r="D42" s="2723"/>
      <c r="E42" s="2723"/>
      <c r="F42" s="2723"/>
      <c r="G42" s="2723"/>
      <c r="H42" s="2723"/>
      <c r="I42" s="2723"/>
      <c r="J42" s="2723"/>
      <c r="K42" s="2723"/>
      <c r="L42" s="2723"/>
      <c r="M42" s="2723"/>
      <c r="N42" s="2723"/>
      <c r="O42" s="2723"/>
      <c r="P42" s="2723"/>
      <c r="Q42" s="2723"/>
    </row>
  </sheetData>
  <mergeCells count="12">
    <mergeCell ref="E25:F25"/>
    <mergeCell ref="E14:F14"/>
    <mergeCell ref="E15:F15"/>
    <mergeCell ref="E16:F16"/>
    <mergeCell ref="E17:F17"/>
    <mergeCell ref="E18:F18"/>
    <mergeCell ref="E19:F19"/>
    <mergeCell ref="E20:F20"/>
    <mergeCell ref="E21:F21"/>
    <mergeCell ref="E22:F22"/>
    <mergeCell ref="E23:F23"/>
    <mergeCell ref="E24:F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7:R41"/>
  <sheetViews>
    <sheetView workbookViewId="0">
      <selection activeCell="V20" sqref="V20"/>
    </sheetView>
  </sheetViews>
  <sheetFormatPr defaultRowHeight="12.75"/>
  <sheetData>
    <row r="7" spans="1:18" ht="18">
      <c r="A7" s="2715" t="s">
        <v>1734</v>
      </c>
      <c r="B7" s="2716"/>
      <c r="C7" s="2717"/>
      <c r="D7" s="2717"/>
      <c r="E7" s="2717"/>
      <c r="F7" s="2718"/>
      <c r="G7" s="2719"/>
      <c r="H7" s="2720"/>
      <c r="I7" s="2721"/>
      <c r="J7" s="2719"/>
      <c r="K7" s="2720"/>
      <c r="L7" s="2720"/>
      <c r="M7" s="2720"/>
      <c r="N7" s="2720"/>
      <c r="O7" s="2720"/>
      <c r="P7" s="2720"/>
      <c r="Q7" s="2722">
        <f>[6]About!D7</f>
        <v>0</v>
      </c>
      <c r="R7" s="2780"/>
    </row>
    <row r="8" spans="1:18" ht="13.5" thickBot="1">
      <c r="A8" s="2723"/>
      <c r="B8" s="2723"/>
      <c r="C8" s="2723"/>
      <c r="D8" s="2723"/>
      <c r="E8" s="2723"/>
      <c r="F8" s="2723"/>
      <c r="G8" s="2723"/>
      <c r="H8" s="2723"/>
      <c r="I8" s="2723"/>
      <c r="J8" s="2723"/>
      <c r="K8" s="2723"/>
      <c r="L8" s="2723"/>
      <c r="M8" s="2723"/>
      <c r="N8" s="2723"/>
      <c r="O8" s="2723"/>
      <c r="P8" s="2723"/>
      <c r="Q8" s="2723"/>
      <c r="R8" s="2723"/>
    </row>
    <row r="9" spans="1:18" ht="15">
      <c r="A9" s="2723"/>
      <c r="B9" s="2724"/>
      <c r="C9" s="2725" t="s">
        <v>1735</v>
      </c>
      <c r="D9" s="2726"/>
      <c r="E9" s="2727"/>
      <c r="F9" s="2727"/>
      <c r="G9" s="2727"/>
      <c r="H9" s="2727"/>
      <c r="I9" s="2728"/>
      <c r="J9" s="2723"/>
      <c r="K9" s="2724"/>
      <c r="L9" s="2725" t="s">
        <v>1736</v>
      </c>
      <c r="M9" s="2727"/>
      <c r="N9" s="2727"/>
      <c r="O9" s="2727"/>
      <c r="P9" s="2727"/>
      <c r="Q9" s="2728"/>
      <c r="R9" s="2723"/>
    </row>
    <row r="10" spans="1:18" ht="51">
      <c r="A10" s="2723"/>
      <c r="B10" s="2729"/>
      <c r="C10" s="2730"/>
      <c r="D10" s="2731" t="s">
        <v>1737</v>
      </c>
      <c r="E10" s="3138" t="s">
        <v>1738</v>
      </c>
      <c r="F10" s="3138"/>
      <c r="G10" s="2731" t="s">
        <v>1739</v>
      </c>
      <c r="H10" s="2732" t="s">
        <v>1740</v>
      </c>
      <c r="I10" s="2733"/>
      <c r="J10" s="2723"/>
      <c r="K10" s="2729"/>
      <c r="L10" s="2730"/>
      <c r="M10" s="2730"/>
      <c r="N10" s="2730"/>
      <c r="O10" s="2730"/>
      <c r="P10" s="2730"/>
      <c r="Q10" s="2733"/>
      <c r="R10" s="2723"/>
    </row>
    <row r="11" spans="1:18">
      <c r="A11" s="2723"/>
      <c r="B11" s="2729"/>
      <c r="C11" s="2730" t="s">
        <v>1741</v>
      </c>
      <c r="D11" s="2732" t="s">
        <v>1742</v>
      </c>
      <c r="E11" s="3138" t="s">
        <v>1743</v>
      </c>
      <c r="F11" s="3138"/>
      <c r="G11" s="2731" t="s">
        <v>1744</v>
      </c>
      <c r="H11" s="2732" t="s">
        <v>1745</v>
      </c>
      <c r="I11" s="2733"/>
      <c r="J11" s="2723"/>
      <c r="K11" s="2729"/>
      <c r="L11" s="2732" t="s">
        <v>1746</v>
      </c>
      <c r="M11" s="2732" t="s">
        <v>1747</v>
      </c>
      <c r="N11" s="2734" t="s">
        <v>1748</v>
      </c>
      <c r="O11" s="2735"/>
      <c r="P11" s="2732" t="s">
        <v>1749</v>
      </c>
      <c r="Q11" s="2733"/>
      <c r="R11" s="2723"/>
    </row>
    <row r="12" spans="1:18">
      <c r="A12" s="2723"/>
      <c r="B12" s="2729"/>
      <c r="C12" s="2736"/>
      <c r="D12" s="2737"/>
      <c r="E12" s="3139"/>
      <c r="F12" s="3140"/>
      <c r="G12" s="2738"/>
      <c r="H12" s="2739" t="str">
        <f>IF(D12&gt;0,D12*E12*(1-G12)/3.6,"")</f>
        <v/>
      </c>
      <c r="I12" s="2733"/>
      <c r="J12" s="2723"/>
      <c r="K12" s="2729"/>
      <c r="L12" s="2740" t="s">
        <v>1745</v>
      </c>
      <c r="M12" s="2740" t="s">
        <v>1745</v>
      </c>
      <c r="N12" s="2741" t="s">
        <v>1745</v>
      </c>
      <c r="O12" s="2735"/>
      <c r="P12" s="2740" t="s">
        <v>1745</v>
      </c>
      <c r="Q12" s="2733"/>
      <c r="R12" s="2723"/>
    </row>
    <row r="13" spans="1:18">
      <c r="A13" s="2723"/>
      <c r="B13" s="2729"/>
      <c r="C13" s="2742"/>
      <c r="D13" s="2743"/>
      <c r="E13" s="3141"/>
      <c r="F13" s="3142"/>
      <c r="G13" s="2744"/>
      <c r="H13" s="2745" t="str">
        <f t="shared" ref="H13:H20" si="0">IF(D13&gt;0,D13*E13*(1-G13)/3.6,"")</f>
        <v/>
      </c>
      <c r="I13" s="2733"/>
      <c r="J13" s="2723"/>
      <c r="K13" s="2729"/>
      <c r="L13" s="2746"/>
      <c r="M13" s="2747"/>
      <c r="N13" s="2748"/>
      <c r="O13" s="2735"/>
      <c r="P13" s="2749">
        <f>L13-M13-N13</f>
        <v>0</v>
      </c>
      <c r="Q13" s="2733"/>
      <c r="R13" s="2723"/>
    </row>
    <row r="14" spans="1:18">
      <c r="A14" s="2723"/>
      <c r="B14" s="2729"/>
      <c r="C14" s="2742"/>
      <c r="D14" s="2743"/>
      <c r="E14" s="3141"/>
      <c r="F14" s="3142"/>
      <c r="G14" s="2744"/>
      <c r="H14" s="2745" t="str">
        <f t="shared" si="0"/>
        <v/>
      </c>
      <c r="I14" s="2733"/>
      <c r="J14" s="2723"/>
      <c r="K14" s="2729"/>
      <c r="L14" s="2730"/>
      <c r="M14" s="2730"/>
      <c r="N14" s="2730"/>
      <c r="O14" s="2735"/>
      <c r="P14" s="2730"/>
      <c r="Q14" s="2733"/>
      <c r="R14" s="2723"/>
    </row>
    <row r="15" spans="1:18">
      <c r="A15" s="2723"/>
      <c r="B15" s="2729"/>
      <c r="C15" s="2750"/>
      <c r="D15" s="2743"/>
      <c r="E15" s="3141"/>
      <c r="F15" s="3143"/>
      <c r="G15" s="2751"/>
      <c r="H15" s="2745" t="str">
        <f t="shared" si="0"/>
        <v/>
      </c>
      <c r="I15" s="2733"/>
      <c r="J15" s="2723"/>
      <c r="K15" s="2729"/>
      <c r="L15" s="2732" t="s">
        <v>1750</v>
      </c>
      <c r="M15" s="2732" t="s">
        <v>1751</v>
      </c>
      <c r="N15" s="2734" t="s">
        <v>1752</v>
      </c>
      <c r="O15" s="2730" t="s">
        <v>1753</v>
      </c>
      <c r="P15" s="2732" t="s">
        <v>1754</v>
      </c>
      <c r="Q15" s="2733"/>
      <c r="R15" s="2723"/>
    </row>
    <row r="16" spans="1:18">
      <c r="A16" s="2723"/>
      <c r="B16" s="2729"/>
      <c r="C16" s="2750"/>
      <c r="D16" s="2743"/>
      <c r="E16" s="3141"/>
      <c r="F16" s="3143"/>
      <c r="G16" s="2751"/>
      <c r="H16" s="2745" t="str">
        <f t="shared" si="0"/>
        <v/>
      </c>
      <c r="I16" s="2733"/>
      <c r="J16" s="2723"/>
      <c r="K16" s="2729"/>
      <c r="L16" s="2740" t="s">
        <v>1745</v>
      </c>
      <c r="M16" s="2740" t="s">
        <v>1745</v>
      </c>
      <c r="N16" s="2741" t="s">
        <v>1745</v>
      </c>
      <c r="O16" s="2740" t="s">
        <v>1755</v>
      </c>
      <c r="P16" s="2740" t="s">
        <v>1745</v>
      </c>
      <c r="Q16" s="2733"/>
      <c r="R16" s="2723"/>
    </row>
    <row r="17" spans="1:18">
      <c r="A17" s="2723"/>
      <c r="B17" s="2729"/>
      <c r="C17" s="2750"/>
      <c r="D17" s="2743"/>
      <c r="E17" s="3141"/>
      <c r="F17" s="3143"/>
      <c r="G17" s="2751"/>
      <c r="H17" s="2745" t="str">
        <f t="shared" si="0"/>
        <v/>
      </c>
      <c r="I17" s="2733"/>
      <c r="J17" s="2723"/>
      <c r="K17" s="2729"/>
      <c r="L17" s="2752"/>
      <c r="M17" s="2753"/>
      <c r="N17" s="2754"/>
      <c r="O17" s="2754"/>
      <c r="P17" s="2755">
        <f>L17-M17-N17</f>
        <v>0</v>
      </c>
      <c r="Q17" s="2733"/>
      <c r="R17" s="2723"/>
    </row>
    <row r="18" spans="1:18">
      <c r="A18" s="2723"/>
      <c r="B18" s="2729"/>
      <c r="C18" s="2750"/>
      <c r="D18" s="2743"/>
      <c r="E18" s="3141"/>
      <c r="F18" s="3143"/>
      <c r="G18" s="2751"/>
      <c r="H18" s="2745" t="str">
        <f t="shared" si="0"/>
        <v/>
      </c>
      <c r="I18" s="2733"/>
      <c r="J18" s="2723"/>
      <c r="K18" s="2729"/>
      <c r="L18" s="2756"/>
      <c r="M18" s="2757"/>
      <c r="N18" s="2758"/>
      <c r="O18" s="2758"/>
      <c r="P18" s="2759">
        <f>L18-M18-N18</f>
        <v>0</v>
      </c>
      <c r="Q18" s="2733"/>
      <c r="R18" s="2723"/>
    </row>
    <row r="19" spans="1:18">
      <c r="A19" s="2723"/>
      <c r="B19" s="2729"/>
      <c r="C19" s="2750"/>
      <c r="D19" s="2743"/>
      <c r="E19" s="3141"/>
      <c r="F19" s="3143"/>
      <c r="G19" s="2751"/>
      <c r="H19" s="2745" t="str">
        <f t="shared" si="0"/>
        <v/>
      </c>
      <c r="I19" s="2733"/>
      <c r="J19" s="2723"/>
      <c r="K19" s="2729"/>
      <c r="L19" s="2756"/>
      <c r="M19" s="2757"/>
      <c r="N19" s="2758"/>
      <c r="O19" s="2758"/>
      <c r="P19" s="2759">
        <f>L19-M19-N19</f>
        <v>0</v>
      </c>
      <c r="Q19" s="2733"/>
      <c r="R19" s="2723"/>
    </row>
    <row r="20" spans="1:18">
      <c r="A20" s="2723"/>
      <c r="B20" s="2729"/>
      <c r="C20" s="2750"/>
      <c r="D20" s="2743"/>
      <c r="E20" s="3141"/>
      <c r="F20" s="3143"/>
      <c r="G20" s="2751"/>
      <c r="H20" s="2745" t="str">
        <f t="shared" si="0"/>
        <v/>
      </c>
      <c r="I20" s="2733"/>
      <c r="J20" s="2723"/>
      <c r="K20" s="2729"/>
      <c r="L20" s="2760"/>
      <c r="M20" s="2761"/>
      <c r="N20" s="2762"/>
      <c r="O20" s="2762"/>
      <c r="P20" s="2763">
        <f>L20-M20-N20</f>
        <v>0</v>
      </c>
      <c r="Q20" s="2733"/>
      <c r="R20" s="2723"/>
    </row>
    <row r="21" spans="1:18">
      <c r="A21" s="2723"/>
      <c r="B21" s="2729"/>
      <c r="C21" s="2764"/>
      <c r="D21" s="2765"/>
      <c r="E21" s="3136"/>
      <c r="F21" s="3137"/>
      <c r="G21" s="2766"/>
      <c r="H21" s="2767" t="str">
        <f>IF(D21&gt;0,D21*E21*(1-G21)/3.6,"")</f>
        <v/>
      </c>
      <c r="I21" s="2733"/>
      <c r="J21" s="2723"/>
      <c r="K21" s="2729"/>
      <c r="L21" s="2735"/>
      <c r="M21" s="2735"/>
      <c r="N21" s="2735"/>
      <c r="O21" s="2735"/>
      <c r="P21" s="2735"/>
      <c r="Q21" s="2733"/>
      <c r="R21" s="2723"/>
    </row>
    <row r="22" spans="1:18">
      <c r="A22" s="2723"/>
      <c r="B22" s="2729"/>
      <c r="C22" s="2730"/>
      <c r="D22" s="2730"/>
      <c r="E22" s="2730"/>
      <c r="F22" s="2730"/>
      <c r="G22" s="2730"/>
      <c r="H22" s="2730"/>
      <c r="I22" s="2733"/>
      <c r="J22" s="2723"/>
      <c r="K22" s="2729"/>
      <c r="L22" s="2735"/>
      <c r="M22" s="2730"/>
      <c r="N22" s="2730"/>
      <c r="O22" s="2730"/>
      <c r="P22" s="2740" t="s">
        <v>1745</v>
      </c>
      <c r="Q22" s="2733"/>
      <c r="R22" s="2723"/>
    </row>
    <row r="23" spans="1:18">
      <c r="A23" s="2723"/>
      <c r="B23" s="2729"/>
      <c r="C23" s="2730"/>
      <c r="D23" s="2768"/>
      <c r="E23" s="2730"/>
      <c r="F23" s="2730"/>
      <c r="G23" s="2730"/>
      <c r="H23" s="2740" t="s">
        <v>1745</v>
      </c>
      <c r="I23" s="2733"/>
      <c r="J23" s="2723"/>
      <c r="K23" s="2729"/>
      <c r="L23" s="2730" t="s">
        <v>1756</v>
      </c>
      <c r="M23" s="2735"/>
      <c r="N23" s="2735"/>
      <c r="O23" s="2730"/>
      <c r="P23" s="2769">
        <f>SUM(P17:P20)</f>
        <v>0</v>
      </c>
      <c r="Q23" s="2733"/>
      <c r="R23" s="2723"/>
    </row>
    <row r="24" spans="1:18">
      <c r="A24" s="2723"/>
      <c r="B24" s="2729"/>
      <c r="C24" s="2730" t="s">
        <v>1757</v>
      </c>
      <c r="D24" s="2730"/>
      <c r="E24" s="2730"/>
      <c r="F24" s="2730"/>
      <c r="G24" s="2730"/>
      <c r="H24" s="2749">
        <f>SUM(H12:H21)</f>
        <v>0</v>
      </c>
      <c r="I24" s="2733"/>
      <c r="J24" s="2723"/>
      <c r="K24" s="2729"/>
      <c r="L24" s="2735"/>
      <c r="M24" s="2735"/>
      <c r="N24" s="2735"/>
      <c r="O24" s="2735"/>
      <c r="P24" s="2735"/>
      <c r="Q24" s="2733"/>
      <c r="R24" s="2723"/>
    </row>
    <row r="25" spans="1:18" ht="13.5" thickBot="1">
      <c r="A25" s="2723"/>
      <c r="B25" s="2770"/>
      <c r="C25" s="2771"/>
      <c r="D25" s="2771"/>
      <c r="E25" s="2771"/>
      <c r="F25" s="2771"/>
      <c r="G25" s="2771"/>
      <c r="H25" s="2771"/>
      <c r="I25" s="2772"/>
      <c r="J25" s="2723"/>
      <c r="K25" s="2770"/>
      <c r="L25" s="2771"/>
      <c r="M25" s="2771"/>
      <c r="N25" s="2771"/>
      <c r="O25" s="2771"/>
      <c r="P25" s="2771"/>
      <c r="Q25" s="2772"/>
      <c r="R25" s="2723"/>
    </row>
    <row r="26" spans="1:18">
      <c r="A26" s="2723"/>
      <c r="B26" s="2723"/>
      <c r="C26" s="2723"/>
      <c r="D26" s="2723"/>
      <c r="E26" s="2723"/>
      <c r="F26" s="2723"/>
      <c r="G26" s="2723"/>
      <c r="H26" s="2723"/>
      <c r="I26" s="2723"/>
      <c r="J26" s="2723"/>
      <c r="K26" s="2723"/>
      <c r="L26" s="2723"/>
      <c r="M26" s="2723"/>
      <c r="N26" s="2723"/>
      <c r="O26" s="2723"/>
      <c r="P26" s="2723"/>
      <c r="Q26" s="2723"/>
      <c r="R26" s="2723"/>
    </row>
    <row r="27" spans="1:18" ht="13.5" thickBot="1">
      <c r="A27" s="2723"/>
      <c r="B27" s="2723"/>
      <c r="C27" s="2723"/>
      <c r="D27" s="2723"/>
      <c r="E27" s="2723"/>
      <c r="F27" s="2723"/>
      <c r="G27" s="2723"/>
      <c r="H27" s="2723"/>
      <c r="I27" s="2723"/>
      <c r="J27" s="2723"/>
      <c r="K27" s="2723"/>
      <c r="L27" s="2723"/>
      <c r="M27" s="2723"/>
      <c r="N27" s="2723"/>
      <c r="O27" s="2723"/>
      <c r="P27" s="2723"/>
      <c r="Q27" s="2723"/>
      <c r="R27" s="2723"/>
    </row>
    <row r="28" spans="1:18">
      <c r="A28" s="2723"/>
      <c r="B28" s="2724"/>
      <c r="C28" s="2727"/>
      <c r="D28" s="2727"/>
      <c r="E28" s="2727"/>
      <c r="F28" s="2728"/>
      <c r="G28" s="2723"/>
      <c r="H28" s="2723"/>
      <c r="I28" s="2723"/>
      <c r="J28" s="2723"/>
      <c r="K28" s="2723"/>
      <c r="L28" s="2723"/>
      <c r="M28" s="2723"/>
      <c r="N28" s="2723"/>
      <c r="O28" s="2723"/>
      <c r="P28" s="2723"/>
      <c r="Q28" s="2723"/>
      <c r="R28" s="2723"/>
    </row>
    <row r="29" spans="1:18" ht="15">
      <c r="A29" s="2723"/>
      <c r="B29" s="2729"/>
      <c r="C29" s="2773" t="s">
        <v>1758</v>
      </c>
      <c r="D29" s="2740" t="s">
        <v>1744</v>
      </c>
      <c r="E29" s="2774" t="s">
        <v>1759</v>
      </c>
      <c r="F29" s="2733"/>
      <c r="G29" s="2723"/>
      <c r="H29" s="2723"/>
      <c r="I29" s="2723"/>
      <c r="J29" s="2723"/>
      <c r="K29" s="2723"/>
      <c r="L29" s="2723"/>
      <c r="M29" s="2723"/>
      <c r="N29" s="2723"/>
      <c r="O29" s="2723"/>
      <c r="P29" s="2723"/>
      <c r="Q29" s="2723"/>
      <c r="R29" s="2723"/>
    </row>
    <row r="30" spans="1:18" ht="18">
      <c r="A30" s="2723"/>
      <c r="B30" s="2775" t="s">
        <v>1760</v>
      </c>
      <c r="C30" s="2730" t="s">
        <v>1761</v>
      </c>
      <c r="D30" s="2776" t="e">
        <f>100*P13/H24</f>
        <v>#DIV/0!</v>
      </c>
      <c r="E30" s="2774" t="s">
        <v>1762</v>
      </c>
      <c r="F30" s="2733"/>
      <c r="G30" s="2723"/>
      <c r="H30" s="2723"/>
      <c r="I30" s="2723"/>
      <c r="J30" s="2723"/>
      <c r="K30" s="2723"/>
      <c r="L30" s="2723"/>
      <c r="M30" s="2723"/>
      <c r="N30" s="2723"/>
      <c r="O30" s="2723"/>
      <c r="P30" s="2723"/>
      <c r="Q30" s="2723"/>
      <c r="R30" s="2723"/>
    </row>
    <row r="31" spans="1:18" ht="18">
      <c r="A31" s="2723"/>
      <c r="B31" s="2775" t="s">
        <v>1763</v>
      </c>
      <c r="C31" s="2777" t="str">
        <f>"Efficiency heat (" &amp; TEXT(O17,0) &amp; "°C)"</f>
        <v>Efficiency heat (0°C)</v>
      </c>
      <c r="D31" s="2776" t="e">
        <f>100*P17/H24</f>
        <v>#DIV/0!</v>
      </c>
      <c r="E31" s="2769">
        <f>O17</f>
        <v>0</v>
      </c>
      <c r="F31" s="2733"/>
      <c r="G31" s="2723"/>
      <c r="H31" s="2723"/>
      <c r="I31" s="2723"/>
      <c r="J31" s="2723"/>
      <c r="K31" s="2723"/>
      <c r="L31" s="2723"/>
      <c r="M31" s="2723"/>
      <c r="N31" s="2723"/>
      <c r="O31" s="2723"/>
      <c r="P31" s="2723"/>
      <c r="Q31" s="2723"/>
      <c r="R31" s="2723"/>
    </row>
    <row r="32" spans="1:18" ht="18">
      <c r="A32" s="2723"/>
      <c r="B32" s="2775" t="s">
        <v>1764</v>
      </c>
      <c r="C32" s="2777" t="str">
        <f>"Efficiency heat (" &amp; TEXT(O18,0) &amp; "°C)"</f>
        <v>Efficiency heat (0°C)</v>
      </c>
      <c r="D32" s="2776" t="e">
        <f>100*P18/H24</f>
        <v>#DIV/0!</v>
      </c>
      <c r="E32" s="2769">
        <f>O18</f>
        <v>0</v>
      </c>
      <c r="F32" s="2733"/>
      <c r="G32" s="2723"/>
      <c r="H32" s="2723"/>
      <c r="I32" s="2723"/>
      <c r="J32" s="2723"/>
      <c r="K32" s="2723"/>
      <c r="L32" s="2723"/>
      <c r="M32" s="2723"/>
      <c r="N32" s="2723"/>
      <c r="O32" s="2723"/>
      <c r="P32" s="2723"/>
      <c r="Q32" s="2723"/>
      <c r="R32" s="2723"/>
    </row>
    <row r="33" spans="1:18" ht="18">
      <c r="A33" s="2723"/>
      <c r="B33" s="2775" t="s">
        <v>1765</v>
      </c>
      <c r="C33" s="2777" t="str">
        <f>"Efficiency heat (" &amp; TEXT(O19,0) &amp; "°C)"</f>
        <v>Efficiency heat (0°C)</v>
      </c>
      <c r="D33" s="2776" t="e">
        <f>100*P19/H24</f>
        <v>#DIV/0!</v>
      </c>
      <c r="E33" s="2769">
        <f>O19</f>
        <v>0</v>
      </c>
      <c r="F33" s="2733"/>
      <c r="G33" s="2723"/>
      <c r="H33" s="2723"/>
      <c r="I33" s="2723"/>
      <c r="J33" s="2723"/>
      <c r="K33" s="2723"/>
      <c r="L33" s="2723"/>
      <c r="M33" s="2723"/>
      <c r="N33" s="2723"/>
      <c r="O33" s="2723"/>
      <c r="P33" s="2723"/>
      <c r="Q33" s="2723"/>
      <c r="R33" s="2723"/>
    </row>
    <row r="34" spans="1:18" ht="18">
      <c r="A34" s="2723"/>
      <c r="B34" s="2775" t="s">
        <v>1766</v>
      </c>
      <c r="C34" s="2777" t="str">
        <f>"Efficiency heat (" &amp; TEXT(O20,0) &amp; "°C)"</f>
        <v>Efficiency heat (0°C)</v>
      </c>
      <c r="D34" s="2776" t="e">
        <f>100*P20/H24</f>
        <v>#DIV/0!</v>
      </c>
      <c r="E34" s="2769">
        <f>O20</f>
        <v>0</v>
      </c>
      <c r="F34" s="2733"/>
      <c r="G34" s="2723"/>
      <c r="H34" s="2723"/>
      <c r="I34" s="2723"/>
      <c r="J34" s="2723"/>
      <c r="K34" s="2723"/>
      <c r="L34" s="2723"/>
      <c r="M34" s="2723"/>
      <c r="N34" s="2723"/>
      <c r="O34" s="2723"/>
      <c r="P34" s="2723"/>
      <c r="Q34" s="2723"/>
      <c r="R34" s="2723"/>
    </row>
    <row r="35" spans="1:18">
      <c r="A35" s="2723"/>
      <c r="B35" s="2775"/>
      <c r="C35" s="2735" t="s">
        <v>1767</v>
      </c>
      <c r="D35" s="2776" t="e">
        <f>SUM(D31:D34)</f>
        <v>#DIV/0!</v>
      </c>
      <c r="E35" s="2730"/>
      <c r="F35" s="2733"/>
      <c r="G35" s="2723"/>
      <c r="H35" s="2723"/>
      <c r="I35" s="2723"/>
      <c r="J35" s="2723"/>
      <c r="K35" s="2723"/>
      <c r="L35" s="2723"/>
      <c r="M35" s="2723"/>
      <c r="N35" s="2723"/>
      <c r="O35" s="2723"/>
      <c r="P35" s="2723"/>
      <c r="Q35" s="2723"/>
      <c r="R35" s="2723"/>
    </row>
    <row r="36" spans="1:18">
      <c r="A36" s="2723"/>
      <c r="B36" s="2729"/>
      <c r="C36" s="2730" t="s">
        <v>1768</v>
      </c>
      <c r="D36" s="2776" t="e">
        <f>SUM(D30:D34)</f>
        <v>#DIV/0!</v>
      </c>
      <c r="E36" s="2730"/>
      <c r="F36" s="2733"/>
      <c r="G36" s="2723"/>
      <c r="H36" s="2723"/>
      <c r="I36" s="2723"/>
      <c r="J36" s="2723"/>
      <c r="K36" s="2723"/>
      <c r="L36" s="2723"/>
      <c r="M36" s="2723"/>
      <c r="N36" s="2723"/>
      <c r="O36" s="2723"/>
      <c r="P36" s="2723"/>
      <c r="Q36" s="2723"/>
      <c r="R36" s="2723"/>
    </row>
    <row r="37" spans="1:18" ht="13.5" thickBot="1">
      <c r="A37" s="2723"/>
      <c r="B37" s="2770"/>
      <c r="C37" s="2771"/>
      <c r="D37" s="2771"/>
      <c r="E37" s="2771"/>
      <c r="F37" s="2772"/>
      <c r="G37" s="2723"/>
      <c r="H37" s="2723"/>
      <c r="I37" s="2723"/>
      <c r="J37" s="2723"/>
      <c r="K37" s="2723"/>
      <c r="L37" s="2723"/>
      <c r="M37" s="2723"/>
      <c r="N37" s="2723"/>
      <c r="O37" s="2723"/>
      <c r="P37" s="2723"/>
      <c r="Q37" s="2723"/>
      <c r="R37" s="2723"/>
    </row>
    <row r="38" spans="1:18">
      <c r="A38" s="2723"/>
      <c r="B38" s="2723"/>
      <c r="C38" s="2723"/>
      <c r="D38" s="2723"/>
      <c r="E38" s="2723"/>
      <c r="F38" s="2723"/>
      <c r="G38" s="2723"/>
      <c r="H38" s="2723"/>
      <c r="I38" s="2723"/>
      <c r="J38" s="2723"/>
      <c r="K38" s="2723"/>
      <c r="L38" s="2723"/>
      <c r="M38" s="2723"/>
      <c r="N38" s="2723"/>
      <c r="O38" s="2723"/>
      <c r="P38" s="2723"/>
      <c r="Q38" s="2723"/>
      <c r="R38" s="2723"/>
    </row>
    <row r="39" spans="1:18">
      <c r="A39" s="2779"/>
      <c r="B39" s="2779"/>
      <c r="C39" s="2779"/>
      <c r="D39" s="2779"/>
      <c r="E39" s="2779"/>
      <c r="F39" s="2779"/>
      <c r="G39" s="2779"/>
      <c r="H39" s="2779"/>
      <c r="I39" s="2779"/>
      <c r="J39" s="2779"/>
      <c r="K39" s="2779"/>
      <c r="L39" s="2779"/>
      <c r="M39" s="2779"/>
      <c r="N39" s="2779"/>
      <c r="O39" s="2779"/>
      <c r="P39" s="2779"/>
      <c r="Q39" s="2779"/>
      <c r="R39" s="2779"/>
    </row>
    <row r="40" spans="1:18">
      <c r="A40" s="2779"/>
      <c r="B40" s="2779"/>
      <c r="C40" s="2779"/>
      <c r="D40" s="2779"/>
      <c r="E40" s="2779"/>
      <c r="F40" s="2779"/>
      <c r="G40" s="2779"/>
      <c r="H40" s="2779"/>
      <c r="I40" s="2779"/>
      <c r="J40" s="2779"/>
      <c r="K40" s="2779"/>
      <c r="L40" s="2779"/>
      <c r="M40" s="2779"/>
      <c r="N40" s="2779"/>
      <c r="O40" s="2779"/>
      <c r="P40" s="2779"/>
      <c r="Q40" s="2779"/>
      <c r="R40" s="2779"/>
    </row>
    <row r="41" spans="1:18">
      <c r="A41" s="2779"/>
      <c r="B41" s="2779"/>
      <c r="C41" s="2779"/>
      <c r="D41" s="2779"/>
      <c r="E41" s="2779"/>
      <c r="F41" s="2779"/>
      <c r="G41" s="2779"/>
      <c r="H41" s="2779"/>
      <c r="I41" s="2779"/>
      <c r="J41" s="2779"/>
      <c r="K41" s="2779"/>
      <c r="L41" s="2779"/>
      <c r="M41" s="2779"/>
      <c r="N41" s="2779"/>
      <c r="O41" s="2779"/>
      <c r="P41" s="2779"/>
      <c r="Q41" s="2779"/>
      <c r="R41" s="2779"/>
    </row>
  </sheetData>
  <mergeCells count="12">
    <mergeCell ref="E16:F16"/>
    <mergeCell ref="E10:F10"/>
    <mergeCell ref="E11:F11"/>
    <mergeCell ref="E12:F12"/>
    <mergeCell ref="E13:F13"/>
    <mergeCell ref="E14:F14"/>
    <mergeCell ref="E15:F15"/>
    <mergeCell ref="E17:F17"/>
    <mergeCell ref="E18:F18"/>
    <mergeCell ref="E19:F19"/>
    <mergeCell ref="E20:F20"/>
    <mergeCell ref="E21:F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Blad23">
    <pageSetUpPr fitToPage="1"/>
  </sheetPr>
  <dimension ref="A1:R173"/>
  <sheetViews>
    <sheetView showGridLines="0" zoomScale="85" zoomScaleNormal="85" zoomScalePageLayoutView="90" workbookViewId="0">
      <selection activeCell="C111" sqref="C111"/>
    </sheetView>
  </sheetViews>
  <sheetFormatPr defaultColWidth="8.85546875" defaultRowHeight="12.75"/>
  <cols>
    <col min="1" max="1" width="35.28515625" customWidth="1"/>
    <col min="2" max="2" width="34.42578125" customWidth="1"/>
    <col min="3" max="3" width="17.85546875" customWidth="1"/>
    <col min="4" max="4" width="22" customWidth="1"/>
    <col min="5" max="5" width="14.85546875" customWidth="1"/>
    <col min="6" max="6" width="22.140625" bestFit="1" customWidth="1"/>
    <col min="7" max="7" width="2.85546875" customWidth="1"/>
    <col min="8" max="8" width="19.42578125" customWidth="1"/>
    <col min="9" max="9" width="10.42578125" customWidth="1"/>
    <col min="10" max="10" width="11.140625" customWidth="1"/>
    <col min="11" max="11" width="10.7109375" customWidth="1"/>
    <col min="12" max="12" width="13.28515625" customWidth="1"/>
    <col min="13" max="13" width="11" customWidth="1"/>
    <col min="14" max="14" width="18" customWidth="1"/>
    <col min="15" max="15" width="13.7109375" customWidth="1"/>
    <col min="16" max="16" width="8.85546875" style="3" customWidth="1"/>
    <col min="17" max="16384" width="8.85546875" style="3"/>
  </cols>
  <sheetData>
    <row r="1" spans="1:18" ht="105" customHeight="1" thickBot="1">
      <c r="A1" s="1203"/>
      <c r="B1" s="1204"/>
      <c r="C1" s="1204"/>
      <c r="D1" s="1204"/>
      <c r="E1" s="1292" t="s">
        <v>654</v>
      </c>
      <c r="F1" s="1292"/>
      <c r="G1" s="1204"/>
      <c r="H1" s="1204"/>
      <c r="I1" s="1205"/>
      <c r="J1" s="113"/>
      <c r="K1" s="113"/>
      <c r="L1" s="113"/>
      <c r="M1" s="113"/>
      <c r="N1" s="113"/>
      <c r="O1" s="113"/>
    </row>
    <row r="2" spans="1:18" ht="27.75" customHeight="1" thickBot="1">
      <c r="A2" s="3146" t="s">
        <v>1689</v>
      </c>
      <c r="B2" s="3147"/>
      <c r="C2" s="3147"/>
      <c r="D2" s="3147"/>
      <c r="E2" s="3147"/>
      <c r="F2" s="3147"/>
      <c r="G2" s="3147"/>
      <c r="H2" s="3147"/>
      <c r="I2" s="3148"/>
      <c r="J2" s="608"/>
      <c r="K2" s="608"/>
      <c r="L2" s="608"/>
      <c r="M2" s="608"/>
      <c r="N2" s="608"/>
      <c r="O2" s="608"/>
    </row>
    <row r="3" spans="1:18" ht="27.75" customHeight="1" thickBot="1">
      <c r="A3" s="1189" t="s">
        <v>772</v>
      </c>
      <c r="B3" s="1190"/>
      <c r="C3" s="1191"/>
      <c r="D3" s="1191"/>
      <c r="E3" s="1190"/>
      <c r="F3" s="1190"/>
      <c r="G3" s="1190"/>
      <c r="H3" s="45"/>
      <c r="I3" s="1192"/>
      <c r="J3" s="108"/>
      <c r="K3" s="52"/>
      <c r="L3" s="108"/>
      <c r="M3" s="108"/>
      <c r="N3" s="22"/>
      <c r="O3" s="52"/>
    </row>
    <row r="4" spans="1:18" ht="16.5" customHeight="1">
      <c r="A4" s="3166" t="s">
        <v>768</v>
      </c>
      <c r="B4" s="3215" t="s">
        <v>658</v>
      </c>
      <c r="C4" s="3217" t="s">
        <v>769</v>
      </c>
      <c r="D4" s="3217" t="s">
        <v>659</v>
      </c>
      <c r="E4" s="3218" t="s">
        <v>770</v>
      </c>
      <c r="F4" s="3215" t="s">
        <v>771</v>
      </c>
      <c r="G4" s="55"/>
      <c r="H4" s="3188" t="s">
        <v>1564</v>
      </c>
      <c r="I4" s="1193"/>
      <c r="J4" s="3192" t="s">
        <v>1833</v>
      </c>
      <c r="K4" s="3192"/>
      <c r="L4" s="3191"/>
      <c r="M4" s="11"/>
      <c r="N4" s="3190" t="s">
        <v>778</v>
      </c>
      <c r="O4" s="3191"/>
    </row>
    <row r="5" spans="1:18" ht="25.5" customHeight="1">
      <c r="A5" s="3166"/>
      <c r="B5" s="3216"/>
      <c r="C5" s="3217"/>
      <c r="D5" s="3217"/>
      <c r="E5" s="3218"/>
      <c r="F5" s="3219"/>
      <c r="G5" s="56"/>
      <c r="H5" s="3189"/>
      <c r="I5" s="1194"/>
      <c r="J5" s="3193" t="str">
        <f>A53</f>
        <v>Етаноловий завод</v>
      </c>
      <c r="K5" s="3193"/>
      <c r="L5" s="3194"/>
      <c r="M5" s="11"/>
      <c r="N5" s="3182" t="s">
        <v>782</v>
      </c>
      <c r="O5" s="3183"/>
    </row>
    <row r="6" spans="1:18" ht="19.5" customHeight="1">
      <c r="A6" s="1195" t="s">
        <v>773</v>
      </c>
      <c r="B6" s="1130"/>
      <c r="C6" s="1131"/>
      <c r="D6" s="1132"/>
      <c r="E6" s="1133">
        <f>IF(F6="A",D7,H6)</f>
        <v>11.520094981868489</v>
      </c>
      <c r="F6" s="968" t="s">
        <v>1486</v>
      </c>
      <c r="G6" s="57"/>
      <c r="H6" s="1179">
        <v>12</v>
      </c>
      <c r="I6" s="1194"/>
      <c r="J6" s="1183">
        <f>F75/F77</f>
        <v>0.71299999999999997</v>
      </c>
      <c r="K6" s="3226" t="s">
        <v>779</v>
      </c>
      <c r="L6" s="3227"/>
      <c r="M6" s="11"/>
      <c r="N6" s="1145">
        <v>83.8</v>
      </c>
      <c r="O6" s="1144" t="s">
        <v>783</v>
      </c>
    </row>
    <row r="7" spans="1:18" ht="22.5" customHeight="1" thickBot="1">
      <c r="A7" s="1196" t="str">
        <f>A19</f>
        <v>Вирощування цукрових буряків</v>
      </c>
      <c r="B7" s="1134">
        <f>L40</f>
        <v>16.157215963349916</v>
      </c>
      <c r="C7" s="1135">
        <f>J6</f>
        <v>0.71299999999999997</v>
      </c>
      <c r="D7" s="1136">
        <f>C7*B7</f>
        <v>11.520094981868489</v>
      </c>
      <c r="E7" s="2790"/>
      <c r="F7" s="58"/>
      <c r="G7" s="58"/>
      <c r="H7" s="1180">
        <v>11.54</v>
      </c>
      <c r="I7" s="1194"/>
      <c r="J7" s="1184">
        <f>1-J6</f>
        <v>0.28700000000000003</v>
      </c>
      <c r="K7" s="1142" t="s">
        <v>780</v>
      </c>
      <c r="L7" s="1143"/>
      <c r="M7" s="11"/>
      <c r="N7" s="3180" t="s">
        <v>781</v>
      </c>
      <c r="O7" s="3181"/>
    </row>
    <row r="8" spans="1:18" ht="19.5" customHeight="1" thickBot="1">
      <c r="A8" s="1195" t="s">
        <v>774</v>
      </c>
      <c r="B8" s="1137"/>
      <c r="C8" s="1137"/>
      <c r="D8" s="1138"/>
      <c r="E8" s="1133">
        <f>IF(F8="A",D9,H8)</f>
        <v>26.404755812870121</v>
      </c>
      <c r="F8" s="968" t="s">
        <v>1486</v>
      </c>
      <c r="G8" s="57"/>
      <c r="H8" s="1179">
        <v>26</v>
      </c>
      <c r="I8" s="1194"/>
      <c r="J8" s="11"/>
      <c r="K8" s="11"/>
      <c r="L8" s="11"/>
      <c r="M8" s="11"/>
      <c r="N8" s="3167">
        <f>(N6-E16)/N6</f>
        <v>-0.57362597863797327</v>
      </c>
      <c r="O8" s="3168"/>
    </row>
    <row r="9" spans="1:18" ht="20.25" customHeight="1">
      <c r="A9" s="1196" t="str">
        <f>A53</f>
        <v>Етаноловий завод</v>
      </c>
      <c r="B9" s="1134">
        <f>L69</f>
        <v>37.03331811061728</v>
      </c>
      <c r="C9" s="1135">
        <f>J6</f>
        <v>0.71299999999999997</v>
      </c>
      <c r="D9" s="1136">
        <f>C9*B9</f>
        <v>26.404755812870121</v>
      </c>
      <c r="E9" s="2790"/>
      <c r="F9" s="58"/>
      <c r="G9" s="58"/>
      <c r="H9" s="1180">
        <f>1.4*18.87</f>
        <v>26.417999999999999</v>
      </c>
      <c r="I9" s="1194"/>
      <c r="J9" s="11"/>
      <c r="K9" s="11"/>
      <c r="L9" s="11"/>
      <c r="M9" s="11"/>
      <c r="N9" s="11"/>
      <c r="O9" s="378"/>
    </row>
    <row r="10" spans="1:18" ht="20.25" customHeight="1" thickBot="1">
      <c r="A10" s="1195" t="s">
        <v>775</v>
      </c>
      <c r="B10" s="1137"/>
      <c r="C10" s="1137"/>
      <c r="D10" s="1138"/>
      <c r="E10" s="1133">
        <f>IF(F10="A",D11+D12+D13, H10)</f>
        <v>2.333481828565926</v>
      </c>
      <c r="F10" s="968" t="s">
        <v>1486</v>
      </c>
      <c r="G10" s="57"/>
      <c r="H10" s="1179">
        <v>2</v>
      </c>
      <c r="I10" s="1194"/>
      <c r="J10" s="11"/>
      <c r="K10" s="11"/>
      <c r="L10" s="11"/>
      <c r="M10" s="11"/>
      <c r="N10" s="11"/>
      <c r="O10" s="51"/>
    </row>
    <row r="11" spans="1:18" ht="12" customHeight="1">
      <c r="A11" s="1196" t="str">
        <f>A43</f>
        <v>Транспортування цукрового буряку</v>
      </c>
      <c r="B11" s="1134">
        <f>L50</f>
        <v>1.1125702269938651</v>
      </c>
      <c r="C11" s="1135">
        <f>J6</f>
        <v>0.71299999999999997</v>
      </c>
      <c r="D11" s="1136">
        <f>C11*B11</f>
        <v>0.79326257184662574</v>
      </c>
      <c r="E11" s="2790"/>
      <c r="F11" s="58"/>
      <c r="G11" s="58"/>
      <c r="H11" s="1180">
        <f>0.84</f>
        <v>0.84</v>
      </c>
      <c r="I11" s="1194"/>
      <c r="J11" s="1185" t="s">
        <v>1691</v>
      </c>
      <c r="K11" s="118"/>
      <c r="L11" s="118"/>
      <c r="M11" s="118"/>
      <c r="N11" s="381"/>
      <c r="O11" s="959"/>
      <c r="P11" s="960"/>
      <c r="Q11" s="960"/>
      <c r="R11" s="960"/>
    </row>
    <row r="12" spans="1:18" ht="12" customHeight="1">
      <c r="A12" s="1196" t="str">
        <f>A81</f>
        <v>Транспортування етанолу</v>
      </c>
      <c r="B12" s="1134">
        <f>L90</f>
        <v>1.0989339178304116</v>
      </c>
      <c r="C12" s="1139">
        <v>1</v>
      </c>
      <c r="D12" s="1136">
        <f>C12*B12</f>
        <v>1.0989339178304116</v>
      </c>
      <c r="E12" s="2790"/>
      <c r="F12" s="60"/>
      <c r="G12" s="60"/>
      <c r="H12" s="1180">
        <f>1.1</f>
        <v>1.1000000000000001</v>
      </c>
      <c r="I12" s="1194"/>
      <c r="J12" s="91"/>
      <c r="K12" s="91"/>
      <c r="L12" s="91"/>
      <c r="M12" s="91"/>
      <c r="N12" s="382"/>
      <c r="O12" s="960"/>
      <c r="P12" s="960"/>
      <c r="Q12" s="960"/>
      <c r="R12" s="960"/>
    </row>
    <row r="13" spans="1:18" ht="12" customHeight="1">
      <c r="A13" s="1196" t="str">
        <f>A93</f>
        <v>Автозаправна станція</v>
      </c>
      <c r="B13" s="1134">
        <f>L98</f>
        <v>0.44128533888888882</v>
      </c>
      <c r="C13" s="1139">
        <v>1</v>
      </c>
      <c r="D13" s="1136">
        <f>C13*B13</f>
        <v>0.44128533888888882</v>
      </c>
      <c r="E13" s="2790"/>
      <c r="F13" s="60"/>
      <c r="G13" s="60"/>
      <c r="H13" s="1180">
        <f>0.44</f>
        <v>0.44</v>
      </c>
      <c r="I13" s="1194"/>
      <c r="J13" s="91"/>
      <c r="K13" s="91"/>
      <c r="L13" s="91"/>
      <c r="M13" s="120"/>
      <c r="N13" s="383"/>
      <c r="O13" s="960"/>
      <c r="P13" s="960"/>
      <c r="Q13" s="960"/>
      <c r="R13" s="960"/>
    </row>
    <row r="14" spans="1:18" ht="20.25" customHeight="1">
      <c r="A14" s="1197" t="s">
        <v>776</v>
      </c>
      <c r="B14" s="1133">
        <f>L114</f>
        <v>128.487411481848</v>
      </c>
      <c r="C14" s="1140">
        <f>J6</f>
        <v>0.71299999999999997</v>
      </c>
      <c r="D14" s="1133">
        <f>C14*B14</f>
        <v>91.611524386557619</v>
      </c>
      <c r="E14" s="1133">
        <f>D14</f>
        <v>91.611524386557619</v>
      </c>
      <c r="F14" s="61"/>
      <c r="G14" s="61"/>
      <c r="H14" s="1181">
        <v>0</v>
      </c>
      <c r="I14" s="1194"/>
      <c r="J14" s="91"/>
      <c r="K14" s="91"/>
      <c r="L14" s="91"/>
      <c r="M14" s="92"/>
      <c r="N14" s="384"/>
      <c r="O14" s="960"/>
      <c r="P14" s="960"/>
      <c r="Q14" s="960"/>
      <c r="R14" s="960"/>
    </row>
    <row r="15" spans="1:18" ht="18" customHeight="1">
      <c r="A15" s="1197" t="s">
        <v>1194</v>
      </c>
      <c r="B15" s="1133">
        <f>L128+L134+L140</f>
        <v>0</v>
      </c>
      <c r="C15" s="1141">
        <v>1</v>
      </c>
      <c r="D15" s="1133">
        <f>C15*B15</f>
        <v>0</v>
      </c>
      <c r="E15" s="1133">
        <f>D15</f>
        <v>0</v>
      </c>
      <c r="F15" s="61"/>
      <c r="G15" s="61"/>
      <c r="H15" s="1181">
        <v>0</v>
      </c>
      <c r="I15" s="1194"/>
      <c r="J15" s="91"/>
      <c r="K15" s="91"/>
      <c r="L15" s="91"/>
      <c r="M15" s="92"/>
      <c r="N15" s="384"/>
      <c r="O15" s="960"/>
      <c r="P15" s="960"/>
      <c r="Q15" s="960"/>
      <c r="R15" s="960"/>
    </row>
    <row r="16" spans="1:18" ht="19.5" customHeight="1" thickBot="1">
      <c r="A16" s="1198" t="s">
        <v>770</v>
      </c>
      <c r="B16" s="1199">
        <f>SUM(B7:B14)-B15</f>
        <v>184.33073503952838</v>
      </c>
      <c r="C16" s="1200"/>
      <c r="D16" s="1200"/>
      <c r="E16" s="1199">
        <f>SUM(E6:E14)-E15</f>
        <v>131.86985700986216</v>
      </c>
      <c r="F16" s="1201"/>
      <c r="G16" s="1201"/>
      <c r="H16" s="1182">
        <v>40</v>
      </c>
      <c r="I16" s="1202"/>
      <c r="J16" s="1186" t="s">
        <v>1692</v>
      </c>
      <c r="K16" s="91"/>
      <c r="L16" s="91"/>
      <c r="M16" s="92"/>
      <c r="N16" s="384"/>
      <c r="O16" s="960"/>
      <c r="P16" s="960"/>
      <c r="Q16" s="960"/>
      <c r="R16" s="960"/>
    </row>
    <row r="17" spans="1:15" ht="16.5" customHeight="1">
      <c r="A17" s="2686" t="s">
        <v>1693</v>
      </c>
      <c r="B17" s="157"/>
      <c r="E17" s="1147" t="s">
        <v>1690</v>
      </c>
      <c r="F17" s="1187"/>
      <c r="G17" s="1187"/>
      <c r="H17" s="1146"/>
      <c r="I17" s="1188"/>
      <c r="J17" s="955"/>
      <c r="K17" s="118"/>
      <c r="L17" s="956"/>
      <c r="M17" s="118"/>
      <c r="N17" s="118"/>
      <c r="O17" s="962"/>
    </row>
    <row r="18" spans="1:15" ht="15" customHeight="1" thickBot="1">
      <c r="A18" s="107" t="s">
        <v>1568</v>
      </c>
      <c r="B18" s="22"/>
      <c r="E18" s="2685" t="s">
        <v>784</v>
      </c>
      <c r="F18" s="120"/>
      <c r="G18" s="120"/>
      <c r="H18" s="120"/>
      <c r="I18" s="91"/>
      <c r="J18" s="966"/>
      <c r="K18" s="966"/>
      <c r="L18" s="967"/>
      <c r="M18" s="957"/>
      <c r="N18" s="957"/>
      <c r="O18" s="958"/>
    </row>
    <row r="19" spans="1:15" ht="15.75">
      <c r="A19" s="3220" t="s">
        <v>786</v>
      </c>
      <c r="B19" s="3221"/>
      <c r="C19" s="3221"/>
      <c r="D19" s="3222"/>
      <c r="E19" s="3223" t="s">
        <v>787</v>
      </c>
      <c r="F19" s="3179"/>
      <c r="G19" s="3179"/>
      <c r="H19" s="3170"/>
      <c r="I19" s="3169" t="s">
        <v>788</v>
      </c>
      <c r="J19" s="3179"/>
      <c r="K19" s="3179"/>
      <c r="L19" s="3170"/>
      <c r="M19" s="116"/>
      <c r="N19" s="3169" t="s">
        <v>789</v>
      </c>
      <c r="O19" s="3170"/>
    </row>
    <row r="20" spans="1:15" ht="29.25" customHeight="1">
      <c r="A20" s="3163" t="s">
        <v>807</v>
      </c>
      <c r="B20" s="3164"/>
      <c r="C20" s="3164"/>
      <c r="D20" s="3165"/>
      <c r="E20" s="3224" t="s">
        <v>807</v>
      </c>
      <c r="F20" s="3164"/>
      <c r="G20" s="3164"/>
      <c r="H20" s="3225"/>
      <c r="I20" s="3171" t="s">
        <v>685</v>
      </c>
      <c r="J20" s="3172"/>
      <c r="K20" s="3172"/>
      <c r="L20" s="3173"/>
      <c r="M20" s="50"/>
      <c r="N20" s="1178" t="s">
        <v>793</v>
      </c>
      <c r="O20" s="1154" t="s">
        <v>790</v>
      </c>
    </row>
    <row r="21" spans="1:15" ht="15.75" customHeight="1">
      <c r="A21" s="1220" t="s">
        <v>681</v>
      </c>
      <c r="B21" s="1208" t="s">
        <v>1346</v>
      </c>
      <c r="C21" s="1216">
        <v>68860.103411513905</v>
      </c>
      <c r="D21" s="1206" t="s">
        <v>687</v>
      </c>
      <c r="E21" s="97">
        <f>C21*(1-C22)*VLOOKUP($B21,'Standard values'!$C$9:$S$159,14, FALSE)</f>
        <v>280604.92140191916</v>
      </c>
      <c r="F21" s="1148" t="s">
        <v>682</v>
      </c>
      <c r="G21" s="9"/>
      <c r="H21" s="1221"/>
      <c r="I21" s="1170" t="s">
        <v>794</v>
      </c>
      <c r="J21" s="1171" t="s">
        <v>795</v>
      </c>
      <c r="K21" s="1171" t="s">
        <v>796</v>
      </c>
      <c r="L21" s="1172" t="s">
        <v>797</v>
      </c>
      <c r="M21" s="22"/>
      <c r="N21" s="1170" t="s">
        <v>797</v>
      </c>
      <c r="O21" s="1172" t="s">
        <v>798</v>
      </c>
    </row>
    <row r="22" spans="1:15" ht="15.75">
      <c r="A22" s="1222" t="s">
        <v>785</v>
      </c>
      <c r="B22" s="1208" t="s">
        <v>1425</v>
      </c>
      <c r="C22" s="1217">
        <v>0.75</v>
      </c>
      <c r="D22" s="29"/>
      <c r="E22" s="109">
        <v>1</v>
      </c>
      <c r="F22" s="1148" t="s">
        <v>683</v>
      </c>
      <c r="G22" s="79"/>
      <c r="H22" s="1223"/>
      <c r="I22" s="1160"/>
      <c r="J22" s="1149"/>
      <c r="K22" s="1149"/>
      <c r="L22" s="1161"/>
      <c r="M22" s="22"/>
      <c r="N22" s="1155"/>
      <c r="O22" s="1156"/>
    </row>
    <row r="23" spans="1:15" ht="15.75">
      <c r="A23" s="1222"/>
      <c r="B23" s="75"/>
      <c r="C23" s="1218"/>
      <c r="D23" s="29"/>
      <c r="E23" s="111">
        <f>+C21/E145</f>
        <v>0.45141104294478529</v>
      </c>
      <c r="F23" s="1148" t="s">
        <v>684</v>
      </c>
      <c r="G23" s="79"/>
      <c r="H23" s="1223"/>
      <c r="I23" s="1162"/>
      <c r="J23" s="1150"/>
      <c r="K23" s="1150"/>
      <c r="L23" s="1163"/>
      <c r="M23" s="22"/>
      <c r="N23" s="1155"/>
      <c r="O23" s="1156"/>
    </row>
    <row r="24" spans="1:15">
      <c r="A24" s="1220" t="s">
        <v>688</v>
      </c>
      <c r="B24" s="1207" t="s">
        <v>1429</v>
      </c>
      <c r="C24" s="1218"/>
      <c r="D24" s="1214"/>
      <c r="E24" s="13"/>
      <c r="F24" s="9"/>
      <c r="G24" s="9"/>
      <c r="H24" s="1223"/>
      <c r="I24" s="1162"/>
      <c r="J24" s="1150"/>
      <c r="K24" s="1150"/>
      <c r="L24" s="1163"/>
      <c r="M24" s="22"/>
      <c r="N24" s="1155"/>
      <c r="O24" s="1156"/>
    </row>
    <row r="25" spans="1:15" ht="14.25">
      <c r="A25" s="1222" t="s">
        <v>689</v>
      </c>
      <c r="B25" s="1208" t="s">
        <v>1413</v>
      </c>
      <c r="C25" s="1219">
        <v>6331</v>
      </c>
      <c r="D25" s="1215" t="s">
        <v>697</v>
      </c>
      <c r="E25" s="36"/>
      <c r="F25" s="9"/>
      <c r="G25" s="9"/>
      <c r="H25" s="1223"/>
      <c r="I25" s="1164">
        <f>$C25*VLOOKUP($B25,'Standard values'!$C$9:$S$159,7, FALSE)/$E$145</f>
        <v>3.6372544580483752</v>
      </c>
      <c r="J25" s="1149">
        <f>$C25*VLOOKUP($B25,'Standard values'!$C$9:$S$159,8, FALSE)/$E$145</f>
        <v>0</v>
      </c>
      <c r="K25" s="1149">
        <f>$C25*VLOOKUP($B25,'Standard values'!$C$9:$S$159,9, FALSE)/$E$145</f>
        <v>0</v>
      </c>
      <c r="L25" s="1161">
        <f>I25*'Standard values'!$D$10+J25*'Standard values'!$D$11+K25*'Standard values'!$D$12</f>
        <v>3.6372544580483752</v>
      </c>
      <c r="M25" s="22"/>
      <c r="N25" s="1157">
        <f>+L25/E$23</f>
        <v>8.0575221073917529</v>
      </c>
      <c r="O25" s="1158">
        <f>L25*$E$145/1000</f>
        <v>554.84180555555554</v>
      </c>
    </row>
    <row r="26" spans="1:15">
      <c r="A26" s="1222"/>
      <c r="B26" s="75"/>
      <c r="C26" s="1218"/>
      <c r="D26" s="1214"/>
      <c r="E26" s="36"/>
      <c r="F26" s="9"/>
      <c r="G26" s="9"/>
      <c r="H26" s="1223"/>
      <c r="I26" s="1164"/>
      <c r="J26" s="1149"/>
      <c r="K26" s="1149"/>
      <c r="L26" s="1161"/>
      <c r="M26" s="22"/>
      <c r="N26" s="1157"/>
      <c r="O26" s="1158"/>
    </row>
    <row r="27" spans="1:15">
      <c r="A27" s="1220" t="s">
        <v>666</v>
      </c>
      <c r="B27" s="1207" t="s">
        <v>1449</v>
      </c>
      <c r="C27" s="14"/>
      <c r="D27" s="1212"/>
      <c r="E27" s="36"/>
      <c r="F27" s="9"/>
      <c r="G27" s="9"/>
      <c r="H27" s="1223"/>
      <c r="I27" s="1164"/>
      <c r="J27" s="1149"/>
      <c r="K27" s="1149"/>
      <c r="L27" s="1161"/>
      <c r="M27" s="22"/>
      <c r="N27" s="1157"/>
      <c r="O27" s="1158"/>
    </row>
    <row r="28" spans="1:15" ht="14.25">
      <c r="A28" s="1222" t="s">
        <v>690</v>
      </c>
      <c r="B28" s="75" t="s">
        <v>980</v>
      </c>
      <c r="C28" s="1209">
        <v>119.65135699975498</v>
      </c>
      <c r="D28" s="1213" t="s">
        <v>698</v>
      </c>
      <c r="E28" s="36"/>
      <c r="F28" s="9"/>
      <c r="G28" s="9"/>
      <c r="H28" s="1223"/>
      <c r="I28" s="1164">
        <f>$C28*VLOOKUP($B28,'Standard values'!$C$9:$S$159,3, FALSE)/$E$145</f>
        <v>2.2174237674100881</v>
      </c>
      <c r="J28" s="1149">
        <f>$C28*VLOOKUP($B28,'Standard values'!$C$9:$S$159,4, FALSE)/$E$145</f>
        <v>6.8074085731505713E-3</v>
      </c>
      <c r="K28" s="1149">
        <f>$C28*VLOOKUP($B28,'Standard values'!$C$9:$S$159,5, FALSE)/$E$145</f>
        <v>7.5627589045263368E-3</v>
      </c>
      <c r="L28" s="1161">
        <f>I28*'Standard values'!$D$10+J28*'Standard values'!$D$11+K28*'Standard values'!$D$12</f>
        <v>4.641311135287701</v>
      </c>
      <c r="M28" s="22"/>
      <c r="N28" s="1157">
        <f>+L28/E$23</f>
        <v>10.281784656861854</v>
      </c>
      <c r="O28" s="1158">
        <f>L28*$E$145/1000</f>
        <v>708.00475472642438</v>
      </c>
    </row>
    <row r="29" spans="1:15" ht="14.25">
      <c r="A29" s="1222" t="s">
        <v>691</v>
      </c>
      <c r="B29" s="89" t="s">
        <v>983</v>
      </c>
      <c r="C29" s="1209">
        <v>400</v>
      </c>
      <c r="D29" s="1213" t="s">
        <v>701</v>
      </c>
      <c r="E29" s="36"/>
      <c r="F29" s="9"/>
      <c r="G29" s="9"/>
      <c r="H29" s="1223"/>
      <c r="I29" s="1164">
        <f>$C29*VLOOKUP($B29,'Standard values'!$C$9:$S$159,3, FALSE)/$E$145</f>
        <v>0.31234503073615932</v>
      </c>
      <c r="J29" s="1149">
        <f>$C29*VLOOKUP($B29,'Standard values'!$C$9:$S$159,4, FALSE)/$E$145</f>
        <v>5.661312681414486E-4</v>
      </c>
      <c r="K29" s="1149">
        <f>$C29*VLOOKUP($B29,'Standard values'!$C$9:$S$159,5, FALSE)/$E$145</f>
        <v>4.7986114900363642E-5</v>
      </c>
      <c r="L29" s="1161">
        <f>I29*'Standard values'!$D$10+J29*'Standard values'!$D$11+K29*'Standard values'!$D$12</f>
        <v>0.3407981746800039</v>
      </c>
      <c r="M29" s="22"/>
      <c r="N29" s="1157">
        <f>+L29/E$23</f>
        <v>0.75496197978853807</v>
      </c>
      <c r="O29" s="1158">
        <f>L29*$E$145/1000</f>
        <v>51.986760000000004</v>
      </c>
    </row>
    <row r="30" spans="1:15" ht="15.75">
      <c r="A30" s="1222" t="s">
        <v>692</v>
      </c>
      <c r="B30" s="89" t="s">
        <v>982</v>
      </c>
      <c r="C30" s="1209">
        <v>134.88512128680762</v>
      </c>
      <c r="D30" s="1213" t="s">
        <v>699</v>
      </c>
      <c r="E30" s="36"/>
      <c r="F30" s="9"/>
      <c r="G30" s="9"/>
      <c r="H30" s="1223"/>
      <c r="I30" s="1164">
        <f>$C30*VLOOKUP($B30,'Standard values'!$C$9:$S$159,3, FALSE)/$E$145</f>
        <v>0.47422580122836322</v>
      </c>
      <c r="J30" s="1149">
        <f>$C30*VLOOKUP($B30,'Standard values'!$C$9:$S$159,4, FALSE)/$E$145</f>
        <v>1.3890474930672411E-3</v>
      </c>
      <c r="K30" s="1149">
        <f>$C30*VLOOKUP($B30,'Standard values'!$C$9:$S$159,5, FALSE)/$E$145</f>
        <v>1.0876111887915888E-5</v>
      </c>
      <c r="L30" s="1161">
        <f>I30*'Standard values'!$D$10+J30*'Standard values'!$D$11+K30*'Standard values'!$D$12</f>
        <v>0.51219306989764313</v>
      </c>
      <c r="M30" s="22"/>
      <c r="N30" s="1157">
        <f>+L30/E$23</f>
        <v>1.1346489588653959</v>
      </c>
      <c r="O30" s="1158">
        <f>L30*$E$145/1000</f>
        <v>78.132044643237748</v>
      </c>
    </row>
    <row r="31" spans="1:15" ht="15.75">
      <c r="A31" s="1222" t="s">
        <v>693</v>
      </c>
      <c r="B31" s="89" t="s">
        <v>981</v>
      </c>
      <c r="C31" s="1209">
        <v>59.704474207636103</v>
      </c>
      <c r="D31" s="1213" t="s">
        <v>700</v>
      </c>
      <c r="E31" s="36"/>
      <c r="F31" s="9"/>
      <c r="G31" s="9"/>
      <c r="H31" s="1223"/>
      <c r="I31" s="1164">
        <f>$C31*VLOOKUP($B31,'Standard values'!$C$9:$S$159,3, FALSE)/$E$145</f>
        <v>0.37764837184849209</v>
      </c>
      <c r="J31" s="1149">
        <f>$C31*VLOOKUP($B31,'Standard values'!$C$9:$S$159,4, FALSE)/$E$145</f>
        <v>5.2094208275309381E-4</v>
      </c>
      <c r="K31" s="1149">
        <f>$C31*VLOOKUP($B31,'Standard values'!$C$9:$S$159,5, FALSE)/$E$145</f>
        <v>2.0156662105022035E-5</v>
      </c>
      <c r="L31" s="1161">
        <f>I31*'Standard values'!$D$10+J31*'Standard values'!$D$11+K31*'Standard values'!$D$12</f>
        <v>0.39667860922461601</v>
      </c>
      <c r="M31" s="22"/>
      <c r="N31" s="1157">
        <f>+L31/E$23</f>
        <v>0.87875255916842088</v>
      </c>
      <c r="O31" s="1158">
        <f>L31*$E$145/1000</f>
        <v>60.510992097469952</v>
      </c>
    </row>
    <row r="32" spans="1:15" ht="14.25">
      <c r="A32" s="1222" t="s">
        <v>694</v>
      </c>
      <c r="B32" s="89" t="s">
        <v>1410</v>
      </c>
      <c r="C32" s="1210">
        <v>1.2965</v>
      </c>
      <c r="D32" s="1213" t="s">
        <v>696</v>
      </c>
      <c r="E32" s="36"/>
      <c r="F32" s="15"/>
      <c r="G32" s="15"/>
      <c r="H32" s="1224"/>
      <c r="I32" s="1164">
        <f>$C32*VLOOKUP($B32,'Standard values'!$C$9:$S$159,3, FALSE)/$E$145</f>
        <v>8.4027160565820491E-2</v>
      </c>
      <c r="J32" s="1149">
        <f>$C32*VLOOKUP($B32,'Standard values'!$C$9:$S$159,4, FALSE)/$E$145</f>
        <v>2.1695941906245064E-4</v>
      </c>
      <c r="K32" s="1149">
        <f>$C32*VLOOKUP($B32,'Standard values'!$C$9:$S$159,5, FALSE)/$E$145</f>
        <v>1.4290521336603235E-5</v>
      </c>
      <c r="L32" s="1161">
        <f>I32*'Standard values'!$D$10+J32*'Standard values'!$D$11+K32*'Standard values'!$D$12</f>
        <v>9.3709721400689519E-2</v>
      </c>
      <c r="M32" s="22"/>
      <c r="N32" s="1157">
        <f>+L32/E$23</f>
        <v>0.20759288649513985</v>
      </c>
      <c r="O32" s="1158">
        <f>L32*$E$145/1000</f>
        <v>14.29486763155</v>
      </c>
    </row>
    <row r="33" spans="1:15">
      <c r="A33" s="1222"/>
      <c r="B33" s="89"/>
      <c r="C33" s="16"/>
      <c r="D33" s="1212"/>
      <c r="E33" s="36"/>
      <c r="F33" s="15"/>
      <c r="G33" s="15"/>
      <c r="H33" s="1224"/>
      <c r="I33" s="1164"/>
      <c r="J33" s="1149"/>
      <c r="K33" s="1149"/>
      <c r="L33" s="1161"/>
      <c r="M33" s="22"/>
      <c r="N33" s="1157"/>
      <c r="O33" s="1158"/>
    </row>
    <row r="34" spans="1:15">
      <c r="A34" s="1220" t="s">
        <v>518</v>
      </c>
      <c r="B34" s="1207" t="s">
        <v>1415</v>
      </c>
      <c r="C34" s="16"/>
      <c r="D34" s="1212"/>
      <c r="E34" s="36"/>
      <c r="F34" s="9"/>
      <c r="G34" s="9"/>
      <c r="H34" s="1224"/>
      <c r="I34" s="1164"/>
      <c r="J34" s="1149"/>
      <c r="K34" s="1149"/>
      <c r="L34" s="1161"/>
      <c r="M34" s="22"/>
      <c r="N34" s="1157"/>
      <c r="O34" s="1158"/>
    </row>
    <row r="35" spans="1:15" ht="14.25">
      <c r="A35" s="1222" t="s">
        <v>695</v>
      </c>
      <c r="B35" s="569" t="s">
        <v>1471</v>
      </c>
      <c r="C35" s="1211">
        <v>6</v>
      </c>
      <c r="D35" s="1213" t="s">
        <v>696</v>
      </c>
      <c r="E35" s="36"/>
      <c r="F35" s="9"/>
      <c r="G35" s="9"/>
      <c r="H35" s="1223"/>
      <c r="I35" s="1164">
        <f>$C35*VLOOKUP($B35,'Standard values'!$C$9:$S$159,3, FALSE)/$E$145</f>
        <v>8.6049098501430846E-2</v>
      </c>
      <c r="J35" s="1149">
        <f>$C35*VLOOKUP($B35,'Standard values'!$C$9:$S$159,4, FALSE)/$E$145</f>
        <v>1.8094698605543676E-4</v>
      </c>
      <c r="K35" s="1149">
        <f>$C35*VLOOKUP($B35,'Standard values'!$C$9:$S$159,5, FALSE)/$E$145</f>
        <v>1.6567009504945215E-4</v>
      </c>
      <c r="L35" s="1161">
        <f>I35*'Standard values'!$D$10+J35*'Standard values'!$D$11+K35*'Standard values'!$D$12</f>
        <v>0.13994246147755351</v>
      </c>
      <c r="M35" s="22"/>
      <c r="N35" s="1157">
        <f>+L35/E$23</f>
        <v>0.31001116092472442</v>
      </c>
      <c r="O35" s="1158">
        <f>L35*$E$145/1000</f>
        <v>21.3474006</v>
      </c>
    </row>
    <row r="36" spans="1:15">
      <c r="A36" s="1220"/>
      <c r="B36" s="1207"/>
      <c r="C36" s="17"/>
      <c r="D36" s="1212"/>
      <c r="E36" s="36"/>
      <c r="F36" s="9"/>
      <c r="G36" s="9"/>
      <c r="H36" s="1223"/>
      <c r="I36" s="1164"/>
      <c r="J36" s="1149"/>
      <c r="K36" s="1149"/>
      <c r="L36" s="1161"/>
      <c r="M36" s="22"/>
      <c r="N36" s="1157"/>
      <c r="O36" s="1158"/>
    </row>
    <row r="37" spans="1:15" ht="15">
      <c r="A37" s="1220" t="s">
        <v>1694</v>
      </c>
      <c r="B37" s="1207" t="s">
        <v>1450</v>
      </c>
      <c r="C37" s="1210">
        <v>3.2737240830223904</v>
      </c>
      <c r="D37" s="1213" t="s">
        <v>696</v>
      </c>
      <c r="E37" s="36"/>
      <c r="F37" s="9"/>
      <c r="G37" s="9"/>
      <c r="H37" s="1223"/>
      <c r="I37" s="1164">
        <v>0</v>
      </c>
      <c r="J37" s="1149">
        <v>0</v>
      </c>
      <c r="K37" s="1149">
        <f>1000*$C37/$E$145</f>
        <v>2.1460833333333335E-2</v>
      </c>
      <c r="L37" s="1161">
        <f>I37*'Standard values'!$D$10+J37*'Standard values'!$D$11+K37*'Standard values'!$D$12</f>
        <v>6.3953283333333335</v>
      </c>
      <c r="M37" s="22"/>
      <c r="N37" s="1157">
        <f>+L37/E$23</f>
        <v>14.167416666666666</v>
      </c>
      <c r="O37" s="1158">
        <f>L37*$E$145/1000</f>
        <v>975.5697767406723</v>
      </c>
    </row>
    <row r="38" spans="1:15" ht="13.5" thickBot="1">
      <c r="A38" s="1225"/>
      <c r="B38" s="1207"/>
      <c r="C38" s="17"/>
      <c r="D38" s="75"/>
      <c r="E38" s="36"/>
      <c r="F38" s="18"/>
      <c r="G38" s="18"/>
      <c r="H38" s="1226" t="s">
        <v>770</v>
      </c>
      <c r="I38" s="1165">
        <f>SUM(I22:I37)</f>
        <v>7.1889736883387299</v>
      </c>
      <c r="J38" s="1151">
        <f>SUM(J22:J37)</f>
        <v>9.6814358222302426E-3</v>
      </c>
      <c r="K38" s="1151">
        <f>SUM(K22:K37)</f>
        <v>2.928257174313903E-2</v>
      </c>
      <c r="L38" s="1166">
        <f>I38*'Standard values'!$D$10+J38*'Standard values'!$D$11+K38*'Standard values'!$D$12</f>
        <v>16.157215963349916</v>
      </c>
      <c r="M38" s="22"/>
      <c r="N38" s="2786">
        <f>+L38/E$23</f>
        <v>35.79269097616249</v>
      </c>
      <c r="O38" s="1159">
        <f>L38*$E$145/1000</f>
        <v>2464.6884019949098</v>
      </c>
    </row>
    <row r="39" spans="1:15">
      <c r="A39" s="1225"/>
      <c r="B39" s="1207"/>
      <c r="C39" s="20"/>
      <c r="D39" s="75"/>
      <c r="E39" s="36"/>
      <c r="F39" s="18"/>
      <c r="G39" s="18"/>
      <c r="H39" s="1226"/>
      <c r="I39" s="1167"/>
      <c r="J39" s="1136"/>
      <c r="K39" s="1136"/>
      <c r="L39" s="1168"/>
      <c r="M39" s="22"/>
      <c r="N39" s="22"/>
      <c r="O39" s="22"/>
    </row>
    <row r="40" spans="1:15" ht="15" thickBot="1">
      <c r="A40" s="1227"/>
      <c r="B40" s="1228"/>
      <c r="C40" s="1228"/>
      <c r="D40" s="1228"/>
      <c r="E40" s="1229"/>
      <c r="F40" s="1230"/>
      <c r="G40" s="1230"/>
      <c r="H40" s="1231" t="s">
        <v>792</v>
      </c>
      <c r="I40" s="3174" t="s">
        <v>791</v>
      </c>
      <c r="J40" s="3175"/>
      <c r="K40" s="3176"/>
      <c r="L40" s="1169">
        <f>L38</f>
        <v>16.157215963349916</v>
      </c>
      <c r="M40" s="22"/>
      <c r="N40" s="11"/>
      <c r="O40" s="11"/>
    </row>
    <row r="41" spans="1:15">
      <c r="A41" s="22"/>
      <c r="B41" s="22"/>
      <c r="C41" s="22"/>
      <c r="D41" s="22"/>
      <c r="E41" s="22"/>
      <c r="F41" s="47"/>
      <c r="G41" s="47"/>
      <c r="H41" s="47"/>
      <c r="I41" s="48"/>
      <c r="J41" s="49"/>
      <c r="K41" s="50"/>
      <c r="L41" s="51"/>
      <c r="M41" s="22"/>
      <c r="N41" s="11"/>
      <c r="O41" s="11"/>
    </row>
    <row r="42" spans="1:15" ht="13.5" thickBot="1">
      <c r="A42" s="11"/>
      <c r="B42" s="11"/>
      <c r="C42" s="11"/>
      <c r="D42" s="11"/>
      <c r="E42" s="11"/>
      <c r="F42" s="11"/>
      <c r="G42" s="11"/>
      <c r="H42" s="11"/>
      <c r="I42" s="25"/>
      <c r="J42" s="25"/>
      <c r="K42" s="25"/>
      <c r="L42" s="25"/>
      <c r="M42" s="22"/>
      <c r="N42" s="11"/>
      <c r="O42" s="11"/>
    </row>
    <row r="43" spans="1:15" ht="15.75">
      <c r="A43" s="158" t="s">
        <v>801</v>
      </c>
      <c r="B43" s="160"/>
      <c r="C43" s="160"/>
      <c r="D43" s="160"/>
      <c r="E43" s="3200" t="s">
        <v>800</v>
      </c>
      <c r="F43" s="3198"/>
      <c r="G43" s="3198"/>
      <c r="H43" s="3198"/>
      <c r="I43" s="3198" t="s">
        <v>788</v>
      </c>
      <c r="J43" s="3198"/>
      <c r="K43" s="3198"/>
      <c r="L43" s="3199"/>
      <c r="M43" s="22"/>
      <c r="N43" s="1152" t="s">
        <v>789</v>
      </c>
      <c r="O43" s="11"/>
    </row>
    <row r="44" spans="1:15" ht="33" customHeight="1">
      <c r="A44" s="1240" t="s">
        <v>681</v>
      </c>
      <c r="B44" s="1240" t="s">
        <v>1346</v>
      </c>
      <c r="C44" s="1241">
        <v>1</v>
      </c>
      <c r="D44" s="1294" t="s">
        <v>705</v>
      </c>
      <c r="E44" s="1248">
        <f>E21*C44</f>
        <v>280604.92140191916</v>
      </c>
      <c r="F44" s="1236" t="s">
        <v>706</v>
      </c>
      <c r="G44" s="125"/>
      <c r="H44" s="9"/>
      <c r="I44" s="3195" t="s">
        <v>714</v>
      </c>
      <c r="J44" s="3196"/>
      <c r="K44" s="3196"/>
      <c r="L44" s="3197"/>
      <c r="M44" s="22"/>
      <c r="N44" s="1153" t="s">
        <v>793</v>
      </c>
      <c r="O44" s="11"/>
    </row>
    <row r="45" spans="1:15" ht="15.75">
      <c r="A45" s="3231" t="s">
        <v>722</v>
      </c>
      <c r="B45" s="3231" t="s">
        <v>721</v>
      </c>
      <c r="C45" s="9"/>
      <c r="D45" s="75"/>
      <c r="E45" s="1249">
        <f>E22*C44</f>
        <v>1</v>
      </c>
      <c r="F45" s="1148" t="s">
        <v>707</v>
      </c>
      <c r="G45" s="79"/>
      <c r="H45" s="9"/>
      <c r="I45" s="1237" t="s">
        <v>709</v>
      </c>
      <c r="J45" s="1239" t="s">
        <v>710</v>
      </c>
      <c r="K45" s="1238" t="s">
        <v>711</v>
      </c>
      <c r="L45" s="1239" t="s">
        <v>712</v>
      </c>
      <c r="M45" s="22"/>
      <c r="N45" s="3177" t="s">
        <v>622</v>
      </c>
      <c r="O45" s="11"/>
    </row>
    <row r="46" spans="1:15">
      <c r="A46" s="3232"/>
      <c r="B46" s="3232"/>
      <c r="C46" s="9"/>
      <c r="D46" s="75"/>
      <c r="E46" s="1249"/>
      <c r="F46" s="79"/>
      <c r="G46" s="79"/>
      <c r="H46" s="9"/>
      <c r="I46" s="553"/>
      <c r="J46" s="74"/>
      <c r="K46" s="41"/>
      <c r="L46" s="74"/>
      <c r="M46" s="22"/>
      <c r="N46" s="3178"/>
      <c r="O46" s="11"/>
    </row>
    <row r="47" spans="1:15" ht="26.25" thickBot="1">
      <c r="A47" s="1232" t="s">
        <v>702</v>
      </c>
      <c r="B47" s="1232" t="s">
        <v>1360</v>
      </c>
      <c r="C47" s="1233">
        <v>30</v>
      </c>
      <c r="D47" s="1293" t="s">
        <v>704</v>
      </c>
      <c r="E47" s="1244">
        <f>(C47*E45)/(VLOOKUP($B44,'Standard values'!$C$9:$S$159,14, FALSE))/(1-$C$22)/1000</f>
        <v>7.3619631901840482E-3</v>
      </c>
      <c r="F47" s="1148" t="s">
        <v>708</v>
      </c>
      <c r="G47" s="9"/>
      <c r="H47" s="9"/>
      <c r="I47" s="1235">
        <f>$E47*VLOOKUP($B47,'Standard values'!$C$9:$S$159,15, FALSE)*VLOOKUP(C48,'Standard values'!$C$9:$S$159,7, FALSE)/$E$146</f>
        <v>1.1108774355828221</v>
      </c>
      <c r="J47" s="81">
        <f>$E47*((VLOOKUP($B47,'Standard values'!$C$9:$S$159,15, FALSE)*VLOOKUP(C48,'Standard values'!$C$9:$S$159,8, FALSE))+VLOOKUP($B47,'Standard values'!$C$9:$S$159,16, FALSE))/$E$146</f>
        <v>6.7711656441717786E-5</v>
      </c>
      <c r="K47" s="70">
        <f>$E47*((VLOOKUP($B47,'Standard values'!$C$9:$S$159,15, FALSE)*VLOOKUP(C48,'Standard values'!$C$9:$S$159,9, FALSE))+VLOOKUP($B47,'Standard values'!$C$9:$S$159,17, FALSE))/$E$146</f>
        <v>0</v>
      </c>
      <c r="L47" s="106">
        <f>I47*'Standard values'!$D$10+J47*'Standard values'!$D$11+K47*'Standard values'!$D$12</f>
        <v>1.1125702269938651</v>
      </c>
      <c r="M47" s="22"/>
      <c r="N47" s="2785">
        <f>+L47/E23</f>
        <v>2.4646500000000002</v>
      </c>
      <c r="O47" s="11"/>
    </row>
    <row r="48" spans="1:15">
      <c r="A48" s="3231" t="s">
        <v>703</v>
      </c>
      <c r="B48" s="3231" t="s">
        <v>1374</v>
      </c>
      <c r="C48" s="3234" t="s">
        <v>1413</v>
      </c>
      <c r="D48" s="1234"/>
      <c r="E48" s="1244"/>
      <c r="F48" s="9"/>
      <c r="G48" s="9"/>
      <c r="H48" s="9"/>
      <c r="I48" s="1235"/>
      <c r="J48" s="81"/>
      <c r="K48" s="70"/>
      <c r="L48" s="106"/>
      <c r="M48" s="22"/>
      <c r="N48" s="11"/>
      <c r="O48" s="11"/>
    </row>
    <row r="49" spans="1:15" ht="12" customHeight="1">
      <c r="A49" s="3233"/>
      <c r="B49" s="3233"/>
      <c r="C49" s="3235"/>
      <c r="D49" s="1234"/>
      <c r="E49" s="75"/>
      <c r="F49" s="9"/>
      <c r="G49" s="9"/>
      <c r="H49" s="77"/>
      <c r="I49" s="1235"/>
      <c r="J49" s="81"/>
      <c r="K49" s="70"/>
      <c r="L49" s="106"/>
      <c r="M49" s="22"/>
      <c r="N49" s="11"/>
      <c r="O49" s="11"/>
    </row>
    <row r="50" spans="1:15" ht="14.25">
      <c r="A50" s="161"/>
      <c r="B50" s="162"/>
      <c r="C50" s="162"/>
      <c r="D50" s="162"/>
      <c r="E50" s="161"/>
      <c r="F50" s="163"/>
      <c r="G50" s="163"/>
      <c r="H50" s="163" t="s">
        <v>792</v>
      </c>
      <c r="I50" s="161"/>
      <c r="J50" s="164" t="s">
        <v>713</v>
      </c>
      <c r="K50" s="167"/>
      <c r="L50" s="166">
        <f>L47</f>
        <v>1.1125702269938651</v>
      </c>
      <c r="M50" s="22"/>
      <c r="N50" s="11"/>
      <c r="O50" s="11"/>
    </row>
    <row r="51" spans="1:15">
      <c r="A51" s="11"/>
      <c r="B51" s="11"/>
      <c r="C51" s="11"/>
      <c r="D51" s="11"/>
      <c r="E51" s="11"/>
      <c r="F51" s="43"/>
      <c r="G51" s="43"/>
      <c r="H51" s="43"/>
      <c r="I51" s="11"/>
      <c r="J51" s="44"/>
      <c r="K51" s="45"/>
      <c r="L51" s="46"/>
      <c r="M51" s="22"/>
      <c r="N51" s="22"/>
      <c r="O51" s="22"/>
    </row>
    <row r="52" spans="1:15" ht="13.5" thickBot="1">
      <c r="A52" s="11"/>
      <c r="B52" s="11"/>
      <c r="C52" s="11"/>
      <c r="D52" s="11"/>
      <c r="E52" s="11"/>
      <c r="F52" s="11"/>
      <c r="G52" s="11"/>
      <c r="H52" s="11"/>
      <c r="I52" s="11"/>
      <c r="J52" s="11"/>
      <c r="K52" s="11"/>
      <c r="L52" s="42"/>
      <c r="M52" s="22"/>
      <c r="N52" s="22"/>
      <c r="O52" s="22"/>
    </row>
    <row r="53" spans="1:15" ht="15.75">
      <c r="A53" s="168" t="s">
        <v>799</v>
      </c>
      <c r="B53" s="169"/>
      <c r="C53" s="169"/>
      <c r="D53" s="169"/>
      <c r="E53" s="3153" t="s">
        <v>800</v>
      </c>
      <c r="F53" s="3154"/>
      <c r="G53" s="3154"/>
      <c r="H53" s="3154"/>
      <c r="I53" s="3154" t="s">
        <v>788</v>
      </c>
      <c r="J53" s="3154"/>
      <c r="K53" s="3154"/>
      <c r="L53" s="3155"/>
      <c r="M53" s="22"/>
      <c r="N53" s="1152" t="s">
        <v>789</v>
      </c>
      <c r="O53" s="22"/>
    </row>
    <row r="54" spans="1:15" ht="15.75">
      <c r="A54" s="3228" t="s">
        <v>807</v>
      </c>
      <c r="B54" s="3229"/>
      <c r="C54" s="3229"/>
      <c r="D54" s="3230"/>
      <c r="E54" s="1250"/>
      <c r="F54" s="9"/>
      <c r="G54" s="9"/>
      <c r="H54" s="89"/>
      <c r="I54" s="3156" t="s">
        <v>714</v>
      </c>
      <c r="J54" s="3144"/>
      <c r="K54" s="3144"/>
      <c r="L54" s="3145"/>
      <c r="M54" s="22"/>
      <c r="N54" s="1284" t="s">
        <v>715</v>
      </c>
      <c r="O54" s="22"/>
    </row>
    <row r="55" spans="1:15" ht="15.75">
      <c r="A55" s="1208" t="s">
        <v>720</v>
      </c>
      <c r="B55" s="75" t="s">
        <v>1408</v>
      </c>
      <c r="C55" s="1255">
        <v>0.54362598532209838</v>
      </c>
      <c r="D55" s="1148" t="s">
        <v>729</v>
      </c>
      <c r="E55" s="1250">
        <f>E44*C55</f>
        <v>152544.12688334828</v>
      </c>
      <c r="F55" s="1148" t="s">
        <v>718</v>
      </c>
      <c r="G55" s="9"/>
      <c r="H55" s="89"/>
      <c r="I55" s="1239" t="s">
        <v>709</v>
      </c>
      <c r="J55" s="1239" t="s">
        <v>710</v>
      </c>
      <c r="K55" s="1238" t="s">
        <v>711</v>
      </c>
      <c r="L55" s="1239" t="s">
        <v>712</v>
      </c>
      <c r="M55" s="22"/>
      <c r="N55" s="1285" t="s">
        <v>716</v>
      </c>
      <c r="O55" s="22"/>
    </row>
    <row r="56" spans="1:15" ht="25.5">
      <c r="A56" s="2687" t="s">
        <v>1695</v>
      </c>
      <c r="B56" s="1254" t="s">
        <v>1196</v>
      </c>
      <c r="C56" s="1255">
        <v>0.21882280194592182</v>
      </c>
      <c r="D56" s="1236" t="s">
        <v>730</v>
      </c>
      <c r="E56" s="1249">
        <f>E45*C55</f>
        <v>0.54362598532209838</v>
      </c>
      <c r="F56" s="1148" t="s">
        <v>719</v>
      </c>
      <c r="G56" s="79"/>
      <c r="H56" s="89"/>
      <c r="I56" s="75"/>
      <c r="J56" s="75"/>
      <c r="K56" s="9"/>
      <c r="L56" s="75"/>
      <c r="M56" s="22"/>
      <c r="N56" s="1286"/>
      <c r="O56" s="22"/>
    </row>
    <row r="57" spans="1:15" ht="15.75">
      <c r="A57" s="1253"/>
      <c r="B57" s="1253"/>
      <c r="C57" s="1256"/>
      <c r="D57" s="79"/>
      <c r="E57" s="1251">
        <f>E55/$E$145/VLOOKUP($B55,'Standard values'!$C$9:$S$159,14, FALSE)</f>
        <v>3.7299515106303617E-2</v>
      </c>
      <c r="F57" s="1148" t="s">
        <v>719</v>
      </c>
      <c r="G57" s="9"/>
      <c r="H57" s="89"/>
      <c r="I57" s="75"/>
      <c r="J57" s="75"/>
      <c r="K57" s="9"/>
      <c r="L57" s="75"/>
      <c r="M57" s="22"/>
      <c r="N57" s="1288"/>
      <c r="O57" s="22"/>
    </row>
    <row r="58" spans="1:15">
      <c r="A58" s="1208" t="s">
        <v>688</v>
      </c>
      <c r="B58" s="1207" t="s">
        <v>1429</v>
      </c>
      <c r="C58" s="75"/>
      <c r="D58" s="9"/>
      <c r="E58" s="1252"/>
      <c r="F58" s="9"/>
      <c r="G58" s="9"/>
      <c r="H58" s="89"/>
      <c r="I58" s="75"/>
      <c r="J58" s="75"/>
      <c r="K58" s="9"/>
      <c r="L58" s="75"/>
      <c r="M58" s="22"/>
      <c r="N58" s="1288"/>
      <c r="O58" s="22"/>
    </row>
    <row r="59" spans="1:15" ht="30.75" customHeight="1">
      <c r="A59" s="2689" t="s">
        <v>1697</v>
      </c>
      <c r="B59" s="75" t="s">
        <v>1372</v>
      </c>
      <c r="C59" s="1255">
        <f>1.4*0.0345</f>
        <v>4.8300000000000003E-2</v>
      </c>
      <c r="D59" s="1148" t="s">
        <v>731</v>
      </c>
      <c r="E59" s="1252"/>
      <c r="F59" s="9"/>
      <c r="G59" s="9"/>
      <c r="H59" s="89"/>
      <c r="I59" s="81">
        <f>$C59*$E$56*VLOOKUP($B59,'Standard values'!$C$9:$S$159,7, FALSE)/$E$146</f>
        <v>5.7651926500000004</v>
      </c>
      <c r="J59" s="81">
        <f>$C59*$E$56*VLOOKUP($B59,'Standard values'!$C$9:$S$159,8, FALSE)/$E$146</f>
        <v>1.4059325000000003E-2</v>
      </c>
      <c r="K59" s="70">
        <f>$C59*$E$56*VLOOKUP($B59,'Standard values'!$C$9:$S$159,9, FALSE)/$E$146</f>
        <v>2.6028333333333336E-4</v>
      </c>
      <c r="L59" s="85">
        <f>I59*'Standard values'!$D$10+J59*'Standard values'!$D$11+K59*'Standard values'!$D$12</f>
        <v>6.1942402083333334</v>
      </c>
      <c r="M59" s="22"/>
      <c r="N59" s="1288">
        <f t="shared" ref="N59:N67" si="0">+L59/$E$57</f>
        <v>166.06757998541667</v>
      </c>
      <c r="O59" s="22"/>
    </row>
    <row r="60" spans="1:15" ht="15.75">
      <c r="A60" s="1208" t="s">
        <v>723</v>
      </c>
      <c r="B60" s="1208" t="s">
        <v>842</v>
      </c>
      <c r="C60" s="1255">
        <f>1.4*0.2806</f>
        <v>0.39284000000000002</v>
      </c>
      <c r="D60" s="1148" t="s">
        <v>732</v>
      </c>
      <c r="E60" s="75"/>
      <c r="F60" s="9"/>
      <c r="G60" s="9"/>
      <c r="H60" s="89"/>
      <c r="I60" s="81"/>
      <c r="J60" s="1244"/>
      <c r="K60" s="558"/>
      <c r="L60" s="85"/>
      <c r="M60" s="22"/>
      <c r="N60" s="1288"/>
      <c r="O60" s="22"/>
    </row>
    <row r="61" spans="1:15">
      <c r="A61" s="1264" t="s">
        <v>724</v>
      </c>
      <c r="B61" s="1262" t="s">
        <v>936</v>
      </c>
      <c r="C61" s="1257"/>
      <c r="D61" s="559"/>
      <c r="E61" s="6"/>
      <c r="F61" s="1"/>
      <c r="G61" s="1"/>
      <c r="H61" s="7"/>
      <c r="I61" s="3157" t="s">
        <v>717</v>
      </c>
      <c r="J61" s="3158"/>
      <c r="K61" s="3158"/>
      <c r="L61" s="3159"/>
      <c r="M61" s="22"/>
      <c r="N61" s="1288"/>
      <c r="O61" s="22"/>
    </row>
    <row r="62" spans="1:15" ht="15.75">
      <c r="A62" s="1265" t="s">
        <v>725</v>
      </c>
      <c r="B62" s="1260" t="s">
        <v>841</v>
      </c>
      <c r="C62" s="1258"/>
      <c r="D62" s="559"/>
      <c r="E62" s="6"/>
      <c r="F62" s="1"/>
      <c r="G62" s="1"/>
      <c r="H62" s="7"/>
      <c r="I62" s="5">
        <f>$C60*$E$56*VLOOKUP($B62,'Standard values'!$C$9:$S$156,7, FALSE)/$E$146</f>
        <v>0</v>
      </c>
      <c r="J62" s="1245">
        <f>$C60*$E$56*VLOOKUP($B62,'Standard values'!$C$9:$S$156,8, FALSE)/$E$146</f>
        <v>1.0912222222222224E-3</v>
      </c>
      <c r="K62" s="5">
        <f>$C60*$E$56*VLOOKUP($B62,'Standard values'!$C$9:$S$156,9, FALSE)/$E$146</f>
        <v>4.3648888888888894E-4</v>
      </c>
      <c r="L62" s="561">
        <f>I62*'Standard values'!$D$10+J62*'Standard values'!$D$11+K62*'Standard values'!$D$12</f>
        <v>0.15735424444444446</v>
      </c>
      <c r="M62" s="22"/>
      <c r="N62" s="1288">
        <f t="shared" si="0"/>
        <v>4.2186672935555558</v>
      </c>
      <c r="O62" s="22"/>
    </row>
    <row r="63" spans="1:15" ht="15.75">
      <c r="A63" s="1266" t="s">
        <v>726</v>
      </c>
      <c r="B63" s="1261" t="s">
        <v>843</v>
      </c>
      <c r="C63" s="1255">
        <f>1/0.9</f>
        <v>1.1111111111111112</v>
      </c>
      <c r="D63" s="1263" t="s">
        <v>733</v>
      </c>
      <c r="E63" s="6"/>
      <c r="F63" s="1"/>
      <c r="G63" s="1"/>
      <c r="H63" s="7"/>
      <c r="I63" s="5"/>
      <c r="J63" s="1246"/>
      <c r="K63" s="562"/>
      <c r="L63" s="561"/>
      <c r="M63" s="22"/>
      <c r="N63" s="1288"/>
      <c r="O63" s="22"/>
    </row>
    <row r="64" spans="1:15" ht="15.75">
      <c r="A64" s="1266" t="s">
        <v>727</v>
      </c>
      <c r="B64" s="1261" t="s">
        <v>1183</v>
      </c>
      <c r="C64" s="1258">
        <f>C63*C60</f>
        <v>0.43648888888888893</v>
      </c>
      <c r="D64" s="1263" t="s">
        <v>732</v>
      </c>
      <c r="E64" s="6"/>
      <c r="F64" s="1"/>
      <c r="G64" s="1"/>
      <c r="H64" s="7"/>
      <c r="I64" s="5">
        <f>$C64*$E$56*VLOOKUP($B64,'Standard values'!$C$9:$S$159,7, FALSE)/$E$146</f>
        <v>27.483086400000001</v>
      </c>
      <c r="J64" s="1245">
        <f>$C64*$E$56*VLOOKUP($B64,'Standard values'!$C$9:$S$159,8, FALSE)/$E$146</f>
        <v>8.6485423456790125E-2</v>
      </c>
      <c r="K64" s="5">
        <f>$C64*$E$56*VLOOKUP($B64,'Standard values'!$C$9:$S$159,9, FALSE)/$E$146</f>
        <v>9.6997530864197551E-5</v>
      </c>
      <c r="L64" s="561">
        <f>I64*'Standard values'!$D$10+J64*'Standard values'!$D$11+K64*'Standard values'!$D$12</f>
        <v>29.674127250617286</v>
      </c>
      <c r="M64" s="22"/>
      <c r="N64" s="1288">
        <f t="shared" si="0"/>
        <v>795.56335158904949</v>
      </c>
      <c r="O64" s="22"/>
    </row>
    <row r="65" spans="1:15" ht="15.75">
      <c r="A65" s="1266" t="s">
        <v>728</v>
      </c>
      <c r="B65" s="1261" t="s">
        <v>844</v>
      </c>
      <c r="C65" s="1255">
        <v>0.02</v>
      </c>
      <c r="D65" s="1263" t="s">
        <v>734</v>
      </c>
      <c r="E65" s="6"/>
      <c r="F65" s="1"/>
      <c r="G65" s="1"/>
      <c r="H65" s="7"/>
      <c r="I65" s="5"/>
      <c r="J65" s="1246"/>
      <c r="K65" s="562"/>
      <c r="L65" s="561"/>
      <c r="M65" s="22"/>
      <c r="N65" s="1288"/>
      <c r="O65" s="22"/>
    </row>
    <row r="66" spans="1:15" ht="27">
      <c r="A66" s="2689" t="s">
        <v>1697</v>
      </c>
      <c r="B66" s="1261" t="s">
        <v>1372</v>
      </c>
      <c r="C66" s="1258">
        <f>C65*C60</f>
        <v>7.8568000000000006E-3</v>
      </c>
      <c r="D66" s="1263" t="s">
        <v>732</v>
      </c>
      <c r="E66" s="6"/>
      <c r="F66" s="1"/>
      <c r="G66" s="1"/>
      <c r="H66" s="7"/>
      <c r="I66" s="5">
        <f>$C66*$E$56*VLOOKUP($B66,'Standard values'!$C$9:$S$159,7, FALSE)/$E$146</f>
        <v>0.93780467106666676</v>
      </c>
      <c r="J66" s="1245">
        <f>$C66*$E$56*VLOOKUP($B66,'Standard values'!$C$9:$S$159,8, FALSE)/$E$146</f>
        <v>2.2869835333333339E-3</v>
      </c>
      <c r="K66" s="5">
        <f>$C66*$E$56*VLOOKUP($B66,'Standard values'!$C$9:$S$159,9, FALSE)/$E$146</f>
        <v>4.2339422222222235E-5</v>
      </c>
      <c r="L66" s="561">
        <f>I66*'Standard values'!$D$10+J66*'Standard values'!$D$11+K66*'Standard values'!$D$12</f>
        <v>1.0075964072222223</v>
      </c>
      <c r="M66" s="22"/>
      <c r="N66" s="1288">
        <f t="shared" si="0"/>
        <v>27.013659677627782</v>
      </c>
      <c r="O66" s="22"/>
    </row>
    <row r="67" spans="1:15" ht="13.5" thickBot="1">
      <c r="A67" s="75"/>
      <c r="B67" s="1234"/>
      <c r="C67" s="1259"/>
      <c r="D67" s="9"/>
      <c r="E67" s="13"/>
      <c r="F67" s="9"/>
      <c r="G67" s="9"/>
      <c r="H67" s="1242" t="s">
        <v>770</v>
      </c>
      <c r="I67" s="82">
        <f>SUM(I56:I66)</f>
        <v>34.186083721066666</v>
      </c>
      <c r="J67" s="1247">
        <f>SUM(J56:J66)</f>
        <v>0.10392295421234568</v>
      </c>
      <c r="K67" s="82">
        <f>SUM(K56:K66)</f>
        <v>8.3610917530864209E-4</v>
      </c>
      <c r="L67" s="106">
        <f>I67*'Standard values'!$D$10+J67*'Standard values'!$D$11+K67*'Standard values'!$D$12</f>
        <v>37.03331811061728</v>
      </c>
      <c r="M67" s="22"/>
      <c r="N67" s="1287">
        <f t="shared" si="0"/>
        <v>992.86325854564927</v>
      </c>
      <c r="O67" s="22"/>
    </row>
    <row r="68" spans="1:15" ht="0.75" customHeight="1">
      <c r="A68" s="13"/>
      <c r="B68" s="83"/>
      <c r="C68" s="37"/>
      <c r="D68" s="37"/>
      <c r="E68" s="13"/>
      <c r="F68" s="9"/>
      <c r="G68" s="9"/>
      <c r="H68" s="89"/>
      <c r="I68" s="9"/>
      <c r="J68" s="89"/>
      <c r="K68" s="9"/>
      <c r="L68" s="75"/>
      <c r="M68" s="22"/>
      <c r="N68" s="121"/>
      <c r="O68" s="22"/>
    </row>
    <row r="69" spans="1:15" ht="14.25">
      <c r="A69" s="161"/>
      <c r="B69" s="162"/>
      <c r="C69" s="162"/>
      <c r="D69" s="162"/>
      <c r="E69" s="161"/>
      <c r="F69" s="163"/>
      <c r="G69" s="163"/>
      <c r="H69" s="1243" t="s">
        <v>792</v>
      </c>
      <c r="I69" s="162"/>
      <c r="J69" s="164" t="s">
        <v>713</v>
      </c>
      <c r="K69" s="167"/>
      <c r="L69" s="166">
        <f>L67</f>
        <v>37.03331811061728</v>
      </c>
      <c r="M69" s="22"/>
      <c r="N69" s="122"/>
      <c r="O69" s="22"/>
    </row>
    <row r="70" spans="1:15">
      <c r="A70" s="11"/>
      <c r="B70" s="11"/>
      <c r="C70" s="11"/>
      <c r="D70" s="11"/>
      <c r="E70" s="11"/>
      <c r="F70" s="43"/>
      <c r="G70" s="43"/>
      <c r="H70" s="43"/>
      <c r="I70" s="11"/>
      <c r="J70" s="44"/>
      <c r="K70" s="45"/>
      <c r="L70" s="53"/>
      <c r="M70" s="22"/>
      <c r="N70" s="11"/>
      <c r="O70" s="11"/>
    </row>
    <row r="71" spans="1:15" ht="13.5" thickBot="1">
      <c r="A71" s="11"/>
      <c r="B71" s="11"/>
      <c r="C71" s="11"/>
      <c r="D71" s="11"/>
      <c r="E71" s="11"/>
      <c r="F71" s="43"/>
      <c r="G71" s="43"/>
      <c r="H71" s="43"/>
      <c r="I71" s="11"/>
      <c r="J71" s="44"/>
      <c r="K71" s="45"/>
      <c r="L71" s="53"/>
      <c r="M71" s="22"/>
      <c r="N71" s="11"/>
      <c r="O71" s="11"/>
    </row>
    <row r="72" spans="1:15" ht="15.75">
      <c r="A72" s="168" t="s">
        <v>735</v>
      </c>
      <c r="B72" s="169"/>
      <c r="C72" s="169"/>
      <c r="D72" s="169"/>
      <c r="E72" s="3207" t="s">
        <v>805</v>
      </c>
      <c r="F72" s="3207"/>
      <c r="G72" s="3207"/>
      <c r="H72" s="3208"/>
      <c r="I72" s="3201" t="s">
        <v>743</v>
      </c>
      <c r="J72" s="3202"/>
      <c r="K72" s="3203"/>
      <c r="L72" s="3213">
        <f>L40+L50+L69</f>
        <v>54.30310430096106</v>
      </c>
      <c r="M72" s="22"/>
      <c r="N72" s="3211" t="s">
        <v>789</v>
      </c>
      <c r="O72" s="11"/>
    </row>
    <row r="73" spans="1:15" ht="15.75">
      <c r="A73" s="175" t="s">
        <v>804</v>
      </c>
      <c r="B73" s="176"/>
      <c r="C73" s="176"/>
      <c r="D73" s="176"/>
      <c r="E73" s="3209"/>
      <c r="F73" s="3209"/>
      <c r="G73" s="3209"/>
      <c r="H73" s="3210"/>
      <c r="I73" s="3204"/>
      <c r="J73" s="3205"/>
      <c r="K73" s="3206"/>
      <c r="L73" s="3214"/>
      <c r="M73" s="22"/>
      <c r="N73" s="3212"/>
      <c r="O73" s="11"/>
    </row>
    <row r="74" spans="1:15" ht="15.75">
      <c r="A74" s="6"/>
      <c r="B74" s="1"/>
      <c r="C74" s="560"/>
      <c r="D74" s="1272"/>
      <c r="E74" s="1273"/>
      <c r="F74" s="3160" t="s">
        <v>741</v>
      </c>
      <c r="G74" s="3161"/>
      <c r="H74" s="3162"/>
      <c r="I74" s="1276">
        <f>L72</f>
        <v>54.30310430096106</v>
      </c>
      <c r="J74" s="1263" t="s">
        <v>744</v>
      </c>
      <c r="K74" s="7"/>
      <c r="L74" s="7"/>
      <c r="M74" s="22"/>
      <c r="N74" s="1284" t="s">
        <v>715</v>
      </c>
      <c r="O74" s="11"/>
    </row>
    <row r="75" spans="1:15" ht="15.75">
      <c r="A75" s="6"/>
      <c r="B75" s="1263" t="s">
        <v>736</v>
      </c>
      <c r="C75" s="1275" t="s">
        <v>720</v>
      </c>
      <c r="D75" s="6"/>
      <c r="E75" s="2692" t="s">
        <v>1703</v>
      </c>
      <c r="F75" s="1267">
        <f>C55</f>
        <v>0.54362598532209838</v>
      </c>
      <c r="G75" s="133"/>
      <c r="H75" s="1268" t="s">
        <v>740</v>
      </c>
      <c r="I75" s="563">
        <f>$I$74*F75/F$77</f>
        <v>38.718113366585236</v>
      </c>
      <c r="J75" s="1263" t="s">
        <v>744</v>
      </c>
      <c r="K75" s="7"/>
      <c r="L75" s="7"/>
      <c r="M75" s="22"/>
      <c r="N75" s="1285" t="s">
        <v>716</v>
      </c>
      <c r="O75" s="11"/>
    </row>
    <row r="76" spans="1:15" ht="15.75">
      <c r="A76" s="6"/>
      <c r="B76" s="2688" t="s">
        <v>1696</v>
      </c>
      <c r="C76" s="1275" t="s">
        <v>737</v>
      </c>
      <c r="D76" s="6"/>
      <c r="E76" s="1274" t="s">
        <v>738</v>
      </c>
      <c r="F76" s="1267">
        <f>C56</f>
        <v>0.21882280194592182</v>
      </c>
      <c r="G76" s="133"/>
      <c r="H76" s="1268" t="s">
        <v>740</v>
      </c>
      <c r="I76" s="563">
        <f>$I$74*F76/F$77</f>
        <v>15.584990934375826</v>
      </c>
      <c r="J76" s="1263" t="s">
        <v>744</v>
      </c>
      <c r="K76" s="7"/>
      <c r="L76" s="7"/>
      <c r="M76" s="22"/>
      <c r="N76" s="1286"/>
      <c r="O76" s="11"/>
    </row>
    <row r="77" spans="1:15">
      <c r="A77" s="6"/>
      <c r="B77" s="1"/>
      <c r="C77" s="560"/>
      <c r="D77" s="6"/>
      <c r="E77" s="1274" t="s">
        <v>739</v>
      </c>
      <c r="F77" s="1269">
        <f>SUM(F75:F76)</f>
        <v>0.76244878726802023</v>
      </c>
      <c r="G77" s="1270"/>
      <c r="H77" s="1271" t="s">
        <v>740</v>
      </c>
      <c r="I77" s="1277"/>
      <c r="J77" s="1176"/>
      <c r="K77" s="1177"/>
      <c r="L77" s="7"/>
      <c r="M77" s="22"/>
      <c r="N77" s="1288"/>
      <c r="O77" s="11"/>
    </row>
    <row r="78" spans="1:15" ht="15" thickBot="1">
      <c r="A78" s="161"/>
      <c r="B78" s="162"/>
      <c r="C78" s="162"/>
      <c r="D78" s="162"/>
      <c r="E78" s="164" t="s">
        <v>742</v>
      </c>
      <c r="F78" s="163"/>
      <c r="G78" s="163"/>
      <c r="H78" s="184"/>
      <c r="I78" s="162"/>
      <c r="J78" s="164" t="s">
        <v>743</v>
      </c>
      <c r="K78" s="184"/>
      <c r="L78" s="166">
        <f>I75</f>
        <v>38.718113366585236</v>
      </c>
      <c r="M78" s="22"/>
      <c r="N78" s="1287">
        <f>+L78/E$57</f>
        <v>1038.0326193581502</v>
      </c>
      <c r="O78" s="22"/>
    </row>
    <row r="79" spans="1:15">
      <c r="A79" s="11"/>
      <c r="B79" s="11"/>
      <c r="C79" s="11"/>
      <c r="D79" s="22"/>
      <c r="E79" s="22"/>
      <c r="F79" s="45"/>
      <c r="G79" s="45"/>
      <c r="H79" s="60"/>
      <c r="I79" s="52"/>
      <c r="J79" s="22"/>
      <c r="K79" s="22"/>
      <c r="L79" s="65"/>
      <c r="M79" s="22"/>
      <c r="N79" s="22"/>
      <c r="O79" s="22"/>
    </row>
    <row r="80" spans="1:15" ht="13.5" thickBot="1">
      <c r="A80" s="42"/>
      <c r="B80" s="53"/>
      <c r="C80" s="54"/>
      <c r="D80" s="11"/>
      <c r="E80" s="22"/>
      <c r="F80" s="22"/>
      <c r="G80" s="22"/>
      <c r="H80" s="22"/>
      <c r="I80" s="22"/>
      <c r="J80" s="59"/>
      <c r="K80" s="22"/>
      <c r="L80" s="22"/>
      <c r="M80" s="22"/>
      <c r="N80" s="22"/>
      <c r="O80" s="22"/>
    </row>
    <row r="81" spans="1:15" ht="15.75">
      <c r="A81" s="168" t="s">
        <v>802</v>
      </c>
      <c r="B81" s="170" t="s">
        <v>803</v>
      </c>
      <c r="C81" s="169"/>
      <c r="D81" s="169"/>
      <c r="E81" s="3153" t="s">
        <v>800</v>
      </c>
      <c r="F81" s="3154"/>
      <c r="G81" s="3154"/>
      <c r="H81" s="3155"/>
      <c r="I81" s="3238" t="s">
        <v>788</v>
      </c>
      <c r="J81" s="3239"/>
      <c r="K81" s="3239"/>
      <c r="L81" s="3239"/>
      <c r="M81" s="22"/>
      <c r="N81" s="1152" t="s">
        <v>789</v>
      </c>
      <c r="O81" s="22"/>
    </row>
    <row r="82" spans="1:15" ht="15.75">
      <c r="A82" s="1207" t="s">
        <v>745</v>
      </c>
      <c r="B82" s="10" t="s">
        <v>1408</v>
      </c>
      <c r="C82" s="420">
        <v>1</v>
      </c>
      <c r="D82" s="1148" t="s">
        <v>600</v>
      </c>
      <c r="E82" s="36">
        <f>E55*C82</f>
        <v>152544.12688334828</v>
      </c>
      <c r="F82" s="1148" t="s">
        <v>634</v>
      </c>
      <c r="G82" s="9"/>
      <c r="H82" s="1278"/>
      <c r="I82" s="3195" t="s">
        <v>633</v>
      </c>
      <c r="J82" s="3196"/>
      <c r="K82" s="3196"/>
      <c r="L82" s="3196"/>
      <c r="M82" s="22"/>
      <c r="N82" s="1284" t="s">
        <v>715</v>
      </c>
      <c r="O82" s="22"/>
    </row>
    <row r="83" spans="1:15" ht="15.75">
      <c r="A83" s="75"/>
      <c r="B83" s="9"/>
      <c r="C83" s="9"/>
      <c r="D83" s="9"/>
      <c r="E83" s="109">
        <f>E56*C82</f>
        <v>0.54362598532209838</v>
      </c>
      <c r="F83" s="1148" t="s">
        <v>635</v>
      </c>
      <c r="G83" s="79"/>
      <c r="H83" s="1278"/>
      <c r="I83" s="1238" t="s">
        <v>709</v>
      </c>
      <c r="J83" s="1238" t="s">
        <v>710</v>
      </c>
      <c r="K83" s="1238" t="s">
        <v>711</v>
      </c>
      <c r="L83" s="1238" t="s">
        <v>716</v>
      </c>
      <c r="M83" s="22"/>
      <c r="N83" s="1285" t="s">
        <v>716</v>
      </c>
      <c r="O83" s="22"/>
    </row>
    <row r="84" spans="1:15">
      <c r="A84" s="1207" t="s">
        <v>722</v>
      </c>
      <c r="B84" s="10" t="s">
        <v>1407</v>
      </c>
      <c r="C84" s="9"/>
      <c r="D84" s="9"/>
      <c r="E84" s="36"/>
      <c r="F84" s="9"/>
      <c r="G84" s="9"/>
      <c r="H84" s="89"/>
      <c r="I84" s="9"/>
      <c r="J84" s="9"/>
      <c r="K84" s="9"/>
      <c r="L84" s="9"/>
      <c r="M84" s="22"/>
      <c r="N84" s="1286"/>
      <c r="O84" s="22"/>
    </row>
    <row r="85" spans="1:15" ht="15.75">
      <c r="A85" s="1208" t="s">
        <v>631</v>
      </c>
      <c r="B85" s="1148" t="s">
        <v>1184</v>
      </c>
      <c r="C85" s="421">
        <f>2*150</f>
        <v>300</v>
      </c>
      <c r="D85" s="1148" t="s">
        <v>704</v>
      </c>
      <c r="E85" s="110">
        <f>(C85*E83/VLOOKUP($B82,'Standard values'!$C$9:$S$159,14, FALSE))/1000</f>
        <v>6.0830956955102398E-3</v>
      </c>
      <c r="F85" s="1148" t="s">
        <v>636</v>
      </c>
      <c r="G85" s="9"/>
      <c r="H85" s="89"/>
      <c r="I85" s="70">
        <f>$E85*VLOOKUP($B85,'Standard values'!$C$9:$S$159,15, FALSE)*VLOOKUP(C86,'Standard values'!$C$9:$S$159,7, FALSE)/$E$146</f>
        <v>0.98851174934725849</v>
      </c>
      <c r="J85" s="70">
        <f>$E85*((VLOOKUP($B85,'Standard values'!$C$9:$S$159,15, FALSE)*VLOOKUP(C86,'Standard values'!$C$9:$S$159,8, FALSE))+VLOOKUP($B85,'Standard values'!$C$9:$S$159,16, FALSE))/$E$146</f>
        <v>5.5949272659455434E-5</v>
      </c>
      <c r="K85" s="70">
        <f>$E85*((VLOOKUP($B85,'Standard values'!$C$9:$S$159,15, FALSE)*VLOOKUP(C86,'Standard values'!$C$9:$S$159,9, FALSE))+VLOOKUP($B85,'Standard values'!$C$9:$S$159,17, FALSE))/$E$146</f>
        <v>0</v>
      </c>
      <c r="L85" s="30">
        <f>I85*'Standard values'!$D$10+J85*'Standard values'!$D$11+K85*'Standard values'!$D$12</f>
        <v>0.98991048116374492</v>
      </c>
      <c r="M85" s="22"/>
      <c r="N85" s="1288">
        <f>+L85/E$57</f>
        <v>26.5395</v>
      </c>
      <c r="O85" s="22"/>
    </row>
    <row r="86" spans="1:15">
      <c r="A86" s="1208" t="s">
        <v>703</v>
      </c>
      <c r="B86" s="29" t="s">
        <v>1374</v>
      </c>
      <c r="C86" s="422" t="s">
        <v>1413</v>
      </c>
      <c r="D86" s="9"/>
      <c r="E86" s="13"/>
      <c r="F86" s="9"/>
      <c r="G86" s="9"/>
      <c r="H86" s="89"/>
      <c r="I86" s="70"/>
      <c r="J86" s="70"/>
      <c r="K86" s="70"/>
      <c r="L86" s="105"/>
      <c r="M86" s="22"/>
      <c r="N86" s="1288"/>
      <c r="O86" s="22"/>
    </row>
    <row r="87" spans="1:15">
      <c r="A87" s="75"/>
      <c r="B87" s="9"/>
      <c r="C87" s="17"/>
      <c r="D87" s="9"/>
      <c r="E87" s="110"/>
      <c r="F87" s="9"/>
      <c r="G87" s="9"/>
      <c r="H87" s="89"/>
      <c r="I87" s="70"/>
      <c r="J87" s="70"/>
      <c r="K87" s="70"/>
      <c r="L87" s="105"/>
      <c r="M87" s="22"/>
      <c r="N87" s="1288"/>
      <c r="O87" s="22"/>
    </row>
    <row r="88" spans="1:15">
      <c r="A88" s="1207" t="s">
        <v>632</v>
      </c>
      <c r="B88" s="10" t="s">
        <v>1457</v>
      </c>
      <c r="C88" s="9"/>
      <c r="D88" s="9"/>
      <c r="E88" s="13"/>
      <c r="F88" s="9"/>
      <c r="G88" s="9"/>
      <c r="H88" s="89"/>
      <c r="I88" s="70"/>
      <c r="J88" s="70"/>
      <c r="K88" s="70"/>
      <c r="L88" s="70"/>
      <c r="M88" s="22"/>
      <c r="N88" s="1288"/>
      <c r="O88" s="22"/>
    </row>
    <row r="89" spans="1:15" ht="27">
      <c r="A89" s="2689" t="s">
        <v>1698</v>
      </c>
      <c r="B89" s="9" t="s">
        <v>1371</v>
      </c>
      <c r="C89" s="421">
        <v>8.4000000000000003E-4</v>
      </c>
      <c r="D89" s="1148" t="s">
        <v>732</v>
      </c>
      <c r="E89" s="13"/>
      <c r="F89" s="9"/>
      <c r="G89" s="9"/>
      <c r="H89" s="89"/>
      <c r="I89" s="70">
        <f>$C89*$E$83*VLOOKUP($B89,'Standard values'!$C$9:$S$159,7, FALSE)/$E$146</f>
        <v>0.10146738000000001</v>
      </c>
      <c r="J89" s="70">
        <f>$C89*$E$83*VLOOKUP($B89,'Standard values'!$C$9:$S$159,8, FALSE)/$E$146</f>
        <v>2.4745000000000002E-4</v>
      </c>
      <c r="K89" s="70">
        <f>$C89*$E$83*VLOOKUP($B89,'Standard values'!$C$9:$S$159,9, FALSE)/$E$146</f>
        <v>4.596666666666667E-6</v>
      </c>
      <c r="L89" s="105">
        <f>I89*'Standard values'!$D$10+J89*'Standard values'!$D$11+K89*'Standard values'!$D$12</f>
        <v>0.10902343666666668</v>
      </c>
      <c r="M89" s="22"/>
      <c r="N89" s="1288">
        <f>+L89/E$57</f>
        <v>2.9229183370333338</v>
      </c>
      <c r="O89" s="22"/>
    </row>
    <row r="90" spans="1:15" ht="15" thickBot="1">
      <c r="A90" s="161"/>
      <c r="B90" s="162"/>
      <c r="C90" s="162"/>
      <c r="D90" s="162"/>
      <c r="E90" s="161"/>
      <c r="F90" s="163"/>
      <c r="G90" s="163"/>
      <c r="H90" s="1243" t="s">
        <v>792</v>
      </c>
      <c r="I90" s="162"/>
      <c r="J90" s="164" t="s">
        <v>637</v>
      </c>
      <c r="K90" s="167"/>
      <c r="L90" s="1281">
        <f>L89+L85</f>
        <v>1.0989339178304116</v>
      </c>
      <c r="M90" s="22"/>
      <c r="N90" s="1287">
        <f>+L90/E$57</f>
        <v>29.462418337033338</v>
      </c>
      <c r="O90" s="22"/>
    </row>
    <row r="91" spans="1:15">
      <c r="A91" s="11"/>
      <c r="B91" s="11"/>
      <c r="C91" s="11"/>
      <c r="D91" s="11"/>
      <c r="E91" s="11"/>
      <c r="F91" s="43"/>
      <c r="G91" s="43"/>
      <c r="H91" s="43"/>
      <c r="I91" s="11"/>
      <c r="J91" s="44"/>
      <c r="K91" s="45"/>
      <c r="L91" s="46"/>
      <c r="M91" s="22"/>
      <c r="N91" s="22"/>
      <c r="O91" s="22"/>
    </row>
    <row r="92" spans="1:15" ht="13.5" thickBot="1">
      <c r="A92" s="11"/>
      <c r="B92" s="11"/>
      <c r="C92" s="11"/>
      <c r="D92" s="11"/>
      <c r="E92" s="11"/>
      <c r="F92" s="43"/>
      <c r="G92" s="43"/>
      <c r="H92" s="43"/>
      <c r="I92" s="11"/>
      <c r="J92" s="44"/>
      <c r="K92" s="45"/>
      <c r="L92" s="46"/>
      <c r="M92" s="22"/>
      <c r="N92" s="22"/>
      <c r="O92" s="22"/>
    </row>
    <row r="93" spans="1:15" ht="15.75">
      <c r="A93" s="168" t="s">
        <v>806</v>
      </c>
      <c r="B93" s="169"/>
      <c r="C93" s="169"/>
      <c r="D93" s="169"/>
      <c r="E93" s="3153" t="s">
        <v>800</v>
      </c>
      <c r="F93" s="3154"/>
      <c r="G93" s="3154"/>
      <c r="H93" s="3154"/>
      <c r="I93" s="169"/>
      <c r="J93" s="169"/>
      <c r="K93" s="169"/>
      <c r="L93" s="179"/>
      <c r="M93" s="22"/>
      <c r="N93" s="1152" t="s">
        <v>789</v>
      </c>
      <c r="O93" s="22"/>
    </row>
    <row r="94" spans="1:15" ht="15.75">
      <c r="A94" s="3236" t="s">
        <v>807</v>
      </c>
      <c r="B94" s="3237"/>
      <c r="C94" s="1282">
        <v>1</v>
      </c>
      <c r="D94" s="1148" t="s">
        <v>638</v>
      </c>
      <c r="E94" s="36">
        <f>E82*C94</f>
        <v>152544.12688334828</v>
      </c>
      <c r="F94" s="1148" t="s">
        <v>639</v>
      </c>
      <c r="G94" s="9"/>
      <c r="H94" s="9"/>
      <c r="I94" s="3144" t="s">
        <v>633</v>
      </c>
      <c r="J94" s="3144"/>
      <c r="K94" s="3144"/>
      <c r="L94" s="3145"/>
      <c r="M94" s="22"/>
      <c r="N94" s="1284" t="s">
        <v>641</v>
      </c>
      <c r="O94" s="22"/>
    </row>
    <row r="95" spans="1:15" ht="15.75">
      <c r="A95" s="13"/>
      <c r="B95" s="89"/>
      <c r="C95" s="75"/>
      <c r="D95" s="9"/>
      <c r="E95" s="109">
        <f>E83*C94</f>
        <v>0.54362598532209838</v>
      </c>
      <c r="F95" s="1148" t="s">
        <v>640</v>
      </c>
      <c r="G95" s="79"/>
      <c r="H95" s="9"/>
      <c r="I95" s="1289" t="s">
        <v>709</v>
      </c>
      <c r="J95" s="1239" t="s">
        <v>710</v>
      </c>
      <c r="K95" s="1238" t="s">
        <v>711</v>
      </c>
      <c r="L95" s="1239" t="s">
        <v>716</v>
      </c>
      <c r="M95" s="22"/>
      <c r="N95" s="1285" t="s">
        <v>716</v>
      </c>
      <c r="O95" s="22"/>
    </row>
    <row r="96" spans="1:15">
      <c r="A96" s="1207" t="s">
        <v>632</v>
      </c>
      <c r="B96" s="1207" t="s">
        <v>1429</v>
      </c>
      <c r="C96" s="75"/>
      <c r="D96" s="9"/>
      <c r="E96" s="13"/>
      <c r="F96" s="9"/>
      <c r="G96" s="9"/>
      <c r="H96" s="9"/>
      <c r="I96" s="1280"/>
      <c r="J96" s="81"/>
      <c r="K96" s="70"/>
      <c r="L96" s="81"/>
      <c r="M96" s="22"/>
      <c r="N96" s="1286"/>
      <c r="O96" s="22"/>
    </row>
    <row r="97" spans="1:15" ht="27.75" thickBot="1">
      <c r="A97" s="2689" t="s">
        <v>1698</v>
      </c>
      <c r="B97" s="75" t="s">
        <v>1371</v>
      </c>
      <c r="C97" s="1283">
        <v>3.3999999999999998E-3</v>
      </c>
      <c r="D97" s="1148" t="s">
        <v>732</v>
      </c>
      <c r="E97" s="13"/>
      <c r="F97" s="9"/>
      <c r="G97" s="9"/>
      <c r="H97" s="9"/>
      <c r="I97" s="1280">
        <f>$C97*$E$83*VLOOKUP($B97,'Standard values'!$C$9:$S$159,7, FALSE)/$E$146</f>
        <v>0.41070129999999994</v>
      </c>
      <c r="J97" s="81">
        <f>$C97*$E$83*VLOOKUP($B97,'Standard values'!$C$9:$S$159,8, FALSE)/$E$146</f>
        <v>1.0015833333333333E-3</v>
      </c>
      <c r="K97" s="70">
        <f>$C97*$E$83*VLOOKUP($B97,'Standard values'!$C$9:$S$159,9, FALSE)/$E$146</f>
        <v>1.8605555555555555E-5</v>
      </c>
      <c r="L97" s="106">
        <f>I97*'Standard values'!$D$10+J97*'Standard values'!$D$11+K97*'Standard values'!$D$12</f>
        <v>0.44128533888888882</v>
      </c>
      <c r="M97" s="22"/>
      <c r="N97" s="1287">
        <f>+L97/E$57</f>
        <v>11.830859935611109</v>
      </c>
      <c r="O97" s="22"/>
    </row>
    <row r="98" spans="1:15" ht="14.25">
      <c r="A98" s="161"/>
      <c r="B98" s="162"/>
      <c r="C98" s="162"/>
      <c r="D98" s="162"/>
      <c r="E98" s="161"/>
      <c r="F98" s="163"/>
      <c r="G98" s="163"/>
      <c r="H98" s="163" t="s">
        <v>792</v>
      </c>
      <c r="I98" s="162"/>
      <c r="J98" s="164" t="s">
        <v>743</v>
      </c>
      <c r="K98" s="167"/>
      <c r="L98" s="166">
        <f>L97</f>
        <v>0.44128533888888882</v>
      </c>
      <c r="M98" s="22"/>
      <c r="N98" s="122"/>
      <c r="O98" s="22"/>
    </row>
    <row r="99" spans="1:15">
      <c r="A99" s="11"/>
      <c r="B99" s="11"/>
      <c r="C99" s="11"/>
      <c r="D99" s="11"/>
      <c r="E99" s="11"/>
      <c r="F99" s="43"/>
      <c r="G99" s="43"/>
      <c r="H99" s="43"/>
      <c r="I99" s="11"/>
      <c r="J99" s="44"/>
      <c r="K99" s="45"/>
      <c r="L99" s="66"/>
      <c r="M99" s="22"/>
      <c r="N99" s="22"/>
      <c r="O99" s="22"/>
    </row>
    <row r="100" spans="1:15">
      <c r="A100" s="11"/>
      <c r="B100" s="11"/>
      <c r="C100" s="11"/>
      <c r="D100" s="11"/>
      <c r="E100" s="11"/>
      <c r="F100" s="43"/>
      <c r="G100" s="43"/>
      <c r="H100" s="43"/>
      <c r="I100" s="11"/>
      <c r="J100" s="44"/>
      <c r="K100" s="45"/>
      <c r="L100" s="66"/>
      <c r="M100" s="22"/>
      <c r="N100" s="22"/>
      <c r="O100" s="22"/>
    </row>
    <row r="101" spans="1:15" ht="15.75">
      <c r="A101" s="168" t="s">
        <v>1699</v>
      </c>
      <c r="B101" s="180"/>
      <c r="C101" s="181"/>
      <c r="D101" s="169"/>
      <c r="E101" s="182"/>
      <c r="F101" s="169"/>
      <c r="G101" s="169"/>
      <c r="H101" s="169"/>
      <c r="I101" s="169"/>
      <c r="J101" s="169"/>
      <c r="K101" s="169"/>
      <c r="L101" s="183"/>
      <c r="M101" s="22"/>
      <c r="N101" s="22"/>
      <c r="O101" s="22"/>
    </row>
    <row r="102" spans="1:15" ht="15.75">
      <c r="A102" s="86"/>
      <c r="B102" s="549" t="s">
        <v>1193</v>
      </c>
      <c r="C102" s="10" t="s">
        <v>642</v>
      </c>
      <c r="D102" s="9"/>
      <c r="E102" s="13"/>
      <c r="F102" s="9"/>
      <c r="G102" s="9"/>
      <c r="H102" s="9"/>
      <c r="I102" s="9"/>
      <c r="J102" s="9"/>
      <c r="K102" s="9"/>
      <c r="L102" s="73"/>
      <c r="M102" s="22"/>
      <c r="N102" s="11"/>
      <c r="O102" s="11"/>
    </row>
    <row r="103" spans="1:15" ht="15.75" customHeight="1">
      <c r="A103" s="86"/>
      <c r="B103" s="10"/>
      <c r="C103" s="17"/>
      <c r="D103" s="545" t="s">
        <v>747</v>
      </c>
      <c r="E103" s="546" t="s">
        <v>1838</v>
      </c>
      <c r="F103" s="3184" t="s">
        <v>1840</v>
      </c>
      <c r="G103" s="3151"/>
      <c r="H103" s="3151"/>
      <c r="I103" s="3151"/>
      <c r="J103" s="3151"/>
      <c r="K103" s="3151"/>
      <c r="L103" s="3152"/>
      <c r="M103" s="22"/>
      <c r="N103" s="11"/>
      <c r="O103" s="11"/>
    </row>
    <row r="104" spans="1:15">
      <c r="A104" s="3149" t="s">
        <v>604</v>
      </c>
      <c r="B104" s="3150"/>
      <c r="C104" s="580" t="s">
        <v>747</v>
      </c>
      <c r="D104" s="545" t="s">
        <v>748</v>
      </c>
      <c r="E104" s="2800"/>
      <c r="F104" s="3151"/>
      <c r="G104" s="3151"/>
      <c r="H104" s="3151"/>
      <c r="I104" s="3151"/>
      <c r="J104" s="3151"/>
      <c r="K104" s="3151"/>
      <c r="L104" s="3152"/>
      <c r="M104" s="22"/>
      <c r="N104" s="11"/>
      <c r="O104" s="11"/>
    </row>
    <row r="105" spans="1:15" ht="15.75" customHeight="1">
      <c r="A105" s="86"/>
      <c r="B105" s="10"/>
      <c r="C105" s="552" t="s">
        <v>1836</v>
      </c>
      <c r="D105" s="545" t="s">
        <v>748</v>
      </c>
      <c r="E105" s="2802" t="s">
        <v>1839</v>
      </c>
      <c r="F105" s="3185" t="s">
        <v>1841</v>
      </c>
      <c r="G105" s="3186"/>
      <c r="H105" s="3186"/>
      <c r="I105" s="3186"/>
      <c r="J105" s="3186"/>
      <c r="K105" s="3186"/>
      <c r="L105" s="3187"/>
      <c r="M105" s="22"/>
      <c r="N105" s="11"/>
      <c r="O105" s="11"/>
    </row>
    <row r="106" spans="1:15" ht="15.75">
      <c r="A106" s="86"/>
      <c r="B106" s="21"/>
      <c r="C106" s="551" t="s">
        <v>1837</v>
      </c>
      <c r="D106" s="9"/>
      <c r="E106" s="2801"/>
      <c r="F106" s="3186"/>
      <c r="G106" s="3186"/>
      <c r="H106" s="3186"/>
      <c r="I106" s="3186"/>
      <c r="J106" s="3186"/>
      <c r="K106" s="3186"/>
      <c r="L106" s="3187"/>
      <c r="M106" s="22"/>
      <c r="N106" s="11"/>
      <c r="O106" s="11"/>
    </row>
    <row r="107" spans="1:15" ht="15.75">
      <c r="A107" s="86"/>
      <c r="B107" s="21"/>
      <c r="C107" s="552" t="str">
        <f>IF(D105="Yes","to calculate the land use change", " ")</f>
        <v xml:space="preserve"> </v>
      </c>
      <c r="D107" s="9"/>
      <c r="E107" s="547"/>
      <c r="F107" s="532"/>
      <c r="G107" s="532"/>
      <c r="H107" s="532"/>
      <c r="I107" s="3144" t="s">
        <v>633</v>
      </c>
      <c r="J107" s="3144"/>
      <c r="K107" s="3144"/>
      <c r="L107" s="3145"/>
      <c r="M107" s="22"/>
      <c r="N107" s="11"/>
      <c r="O107" s="11"/>
    </row>
    <row r="108" spans="1:15" ht="16.5">
      <c r="A108" s="86"/>
      <c r="B108" s="21"/>
      <c r="C108" s="552"/>
      <c r="D108" s="9"/>
      <c r="E108" s="547"/>
      <c r="F108" s="532"/>
      <c r="G108" s="532"/>
      <c r="H108" s="532"/>
      <c r="I108" s="74" t="s">
        <v>1453</v>
      </c>
      <c r="J108" s="74" t="s">
        <v>1454</v>
      </c>
      <c r="K108" s="74" t="s">
        <v>1455</v>
      </c>
      <c r="L108" s="565" t="s">
        <v>1456</v>
      </c>
      <c r="M108" s="22"/>
      <c r="N108" s="11"/>
      <c r="O108" s="11"/>
    </row>
    <row r="109" spans="1:15" ht="16.5">
      <c r="A109" s="86"/>
      <c r="B109" s="1291" t="s">
        <v>606</v>
      </c>
      <c r="C109" s="548">
        <v>19.600000000000001</v>
      </c>
      <c r="D109" s="29" t="s">
        <v>648</v>
      </c>
      <c r="E109" s="13"/>
      <c r="F109" s="9"/>
      <c r="G109" s="9"/>
      <c r="H109" s="9"/>
      <c r="I109" s="81">
        <f>$C109*1000000/$E$145</f>
        <v>128.487411481848</v>
      </c>
      <c r="J109" s="81">
        <v>0</v>
      </c>
      <c r="K109" s="81">
        <v>0</v>
      </c>
      <c r="L109" s="1279">
        <f>I109*'Standard values'!$D$10+J109*'Standard values'!$D$11+K109*'Standard values'!$D$12</f>
        <v>128.487411481848</v>
      </c>
      <c r="M109" s="22"/>
      <c r="N109" s="11"/>
      <c r="O109" s="11"/>
    </row>
    <row r="110" spans="1:15" ht="15.75">
      <c r="A110" s="86"/>
      <c r="B110" s="21"/>
      <c r="C110" s="19"/>
      <c r="D110" s="9"/>
      <c r="E110" s="13"/>
      <c r="F110" s="9"/>
      <c r="G110" s="9"/>
      <c r="H110" s="9"/>
      <c r="I110" s="81"/>
      <c r="J110" s="81"/>
      <c r="K110" s="81"/>
      <c r="L110" s="550"/>
      <c r="M110" s="22"/>
      <c r="N110" s="11"/>
      <c r="O110" s="11"/>
    </row>
    <row r="111" spans="1:15" ht="15.75">
      <c r="A111" s="13"/>
      <c r="B111" s="2690" t="s">
        <v>1700</v>
      </c>
      <c r="C111" s="424">
        <v>0</v>
      </c>
      <c r="D111" s="1206" t="s">
        <v>607</v>
      </c>
      <c r="E111" s="553"/>
      <c r="F111" s="9"/>
      <c r="G111" s="9"/>
      <c r="H111" s="9"/>
      <c r="I111" s="81">
        <f>-C111</f>
        <v>0</v>
      </c>
      <c r="J111" s="81">
        <v>0</v>
      </c>
      <c r="K111" s="81">
        <v>0</v>
      </c>
      <c r="L111" s="1279">
        <f>I111*'Standard values'!$D$10+J111*'Standard values'!$D$11+K111*'Standard values'!$D$12</f>
        <v>0</v>
      </c>
      <c r="M111" s="22"/>
      <c r="N111" s="11"/>
      <c r="O111" s="11"/>
    </row>
    <row r="112" spans="1:15">
      <c r="A112" s="13"/>
      <c r="B112" s="41" t="str">
        <f>IF(C111=-29,"Year of conversion:","")</f>
        <v/>
      </c>
      <c r="C112" s="640"/>
      <c r="D112" s="87" t="str">
        <f>IF(C111=-29,"Fill in the year of conversion","")</f>
        <v/>
      </c>
      <c r="E112" s="13"/>
      <c r="F112" s="9"/>
      <c r="G112" s="9"/>
      <c r="H112" s="9"/>
      <c r="I112" s="75"/>
      <c r="J112" s="75"/>
      <c r="K112" s="81"/>
      <c r="L112" s="550">
        <f>SUM(L109:L111)</f>
        <v>128.487411481848</v>
      </c>
      <c r="M112" s="22"/>
      <c r="N112" s="11"/>
      <c r="O112" s="11"/>
    </row>
    <row r="113" spans="1:15">
      <c r="A113" s="13"/>
      <c r="B113" s="41"/>
      <c r="C113" s="41"/>
      <c r="D113" s="87"/>
      <c r="E113" s="13"/>
      <c r="F113" s="9"/>
      <c r="G113" s="9"/>
      <c r="H113" s="9"/>
      <c r="I113" s="75"/>
      <c r="J113" s="75"/>
      <c r="K113" s="81"/>
      <c r="L113" s="550"/>
      <c r="M113" s="22"/>
      <c r="N113" s="11"/>
      <c r="O113" s="11"/>
    </row>
    <row r="114" spans="1:15" ht="14.25">
      <c r="A114" s="161"/>
      <c r="B114" s="162"/>
      <c r="C114" s="162"/>
      <c r="D114" s="162"/>
      <c r="E114" s="161"/>
      <c r="F114" s="163"/>
      <c r="G114" s="163"/>
      <c r="H114" s="163" t="s">
        <v>792</v>
      </c>
      <c r="I114" s="162"/>
      <c r="J114" s="164" t="s">
        <v>743</v>
      </c>
      <c r="K114" s="167"/>
      <c r="L114" s="166">
        <f>L112</f>
        <v>128.487411481848</v>
      </c>
      <c r="M114" s="22"/>
      <c r="N114" s="11"/>
      <c r="O114" s="11"/>
    </row>
    <row r="115" spans="1:15">
      <c r="A115" s="11"/>
      <c r="B115" s="11"/>
      <c r="C115" s="11"/>
      <c r="D115" s="11"/>
      <c r="E115" s="11"/>
      <c r="F115" s="43"/>
      <c r="G115" s="43"/>
      <c r="H115" s="43"/>
      <c r="I115" s="11"/>
      <c r="J115" s="44"/>
      <c r="K115" s="45"/>
      <c r="L115" s="67"/>
      <c r="M115" s="22"/>
      <c r="N115" s="11"/>
      <c r="O115" s="11"/>
    </row>
    <row r="116" spans="1:15">
      <c r="A116" s="11"/>
      <c r="B116" s="11"/>
      <c r="C116" s="11"/>
      <c r="D116" s="11"/>
      <c r="E116" s="11"/>
      <c r="F116" s="43"/>
      <c r="G116" s="43"/>
      <c r="H116" s="43"/>
      <c r="I116" s="11"/>
      <c r="J116" s="44"/>
      <c r="K116" s="45"/>
      <c r="L116" s="67"/>
      <c r="M116" s="22"/>
      <c r="N116" s="11"/>
      <c r="O116" s="11"/>
    </row>
    <row r="117" spans="1:15" ht="15.75">
      <c r="A117" s="168" t="s">
        <v>645</v>
      </c>
      <c r="B117" s="180"/>
      <c r="C117" s="181"/>
      <c r="D117" s="169"/>
      <c r="E117" s="182"/>
      <c r="F117" s="169"/>
      <c r="G117" s="169"/>
      <c r="H117" s="169"/>
      <c r="I117" s="169"/>
      <c r="J117" s="169"/>
      <c r="K117" s="169"/>
      <c r="L117" s="183"/>
      <c r="M117" s="22"/>
      <c r="N117" s="11"/>
      <c r="O117" s="11"/>
    </row>
    <row r="118" spans="1:15" ht="15.75">
      <c r="A118" s="86"/>
      <c r="B118" s="21" t="s">
        <v>1192</v>
      </c>
      <c r="C118" s="19" t="s">
        <v>1701</v>
      </c>
      <c r="D118" s="89"/>
      <c r="E118" s="13"/>
      <c r="F118" s="9"/>
      <c r="G118" s="9"/>
      <c r="H118" s="9"/>
      <c r="I118" s="3144" t="s">
        <v>633</v>
      </c>
      <c r="J118" s="3144"/>
      <c r="K118" s="3144"/>
      <c r="L118" s="3145"/>
      <c r="M118" s="22"/>
      <c r="N118" s="11"/>
      <c r="O118" s="11"/>
    </row>
    <row r="119" spans="1:15" ht="15.75">
      <c r="A119" s="86"/>
      <c r="B119" s="10"/>
      <c r="C119" s="17"/>
      <c r="D119" s="545" t="s">
        <v>747</v>
      </c>
      <c r="E119" s="546" t="str">
        <f>IF(D121="Yes","From :  ", " ")</f>
        <v xml:space="preserve"> </v>
      </c>
      <c r="F119" s="3151" t="str">
        <f>IF(D121="Yes",'Esca (EnVer)'!H$42 &amp; ", " &amp; 'Esca (EnVer)'!H$43 &amp; " input ","")</f>
        <v/>
      </c>
      <c r="G119" s="3151"/>
      <c r="H119" s="3151"/>
      <c r="I119" s="3151"/>
      <c r="J119" s="3151"/>
      <c r="K119" s="3151"/>
      <c r="L119" s="3152"/>
      <c r="M119" s="22"/>
      <c r="N119" s="11"/>
      <c r="O119" s="11"/>
    </row>
    <row r="120" spans="1:15" ht="15.75">
      <c r="A120" s="86"/>
      <c r="B120" s="1238" t="s">
        <v>647</v>
      </c>
      <c r="C120" s="17"/>
      <c r="D120" s="545" t="s">
        <v>748</v>
      </c>
      <c r="E120" s="36"/>
      <c r="F120" s="3151"/>
      <c r="G120" s="3151"/>
      <c r="H120" s="3151"/>
      <c r="I120" s="3151"/>
      <c r="J120" s="3151"/>
      <c r="K120" s="3151"/>
      <c r="L120" s="3152"/>
      <c r="M120" s="22"/>
      <c r="N120" s="11"/>
      <c r="O120" s="11"/>
    </row>
    <row r="121" spans="1:15" ht="15.75">
      <c r="A121" s="86"/>
      <c r="B121" s="10"/>
      <c r="C121" s="552" t="str">
        <f>IF(D121="Yes","Go to", " ")</f>
        <v xml:space="preserve"> </v>
      </c>
      <c r="D121" s="545" t="s">
        <v>748</v>
      </c>
      <c r="E121" s="546" t="str">
        <f>IF(D121="Yes","To    :   ", " ")</f>
        <v xml:space="preserve"> </v>
      </c>
      <c r="F121" s="3151" t="str">
        <f>IF(D121="Yes",'Esca (EnVer)'!D$42 &amp; ", " &amp; 'Esca (EnVer)'!D$43 &amp; " input ","")</f>
        <v/>
      </c>
      <c r="G121" s="3151"/>
      <c r="H121" s="3151"/>
      <c r="I121" s="3151"/>
      <c r="J121" s="3151"/>
      <c r="K121" s="3151"/>
      <c r="L121" s="3152"/>
      <c r="M121" s="22"/>
      <c r="N121" s="11"/>
      <c r="O121" s="11"/>
    </row>
    <row r="122" spans="1:15" ht="15.75">
      <c r="A122" s="86"/>
      <c r="B122" s="21"/>
      <c r="C122" s="551" t="str">
        <f>IF(D121="Yes","sheet 'Esca' ", " ")</f>
        <v xml:space="preserve"> </v>
      </c>
      <c r="D122" s="9"/>
      <c r="E122" s="547"/>
      <c r="F122" s="3151"/>
      <c r="G122" s="3151"/>
      <c r="H122" s="3151"/>
      <c r="I122" s="3151"/>
      <c r="J122" s="3151"/>
      <c r="K122" s="3151"/>
      <c r="L122" s="3152"/>
      <c r="M122" s="22"/>
      <c r="N122" s="11"/>
      <c r="O122" s="11"/>
    </row>
    <row r="123" spans="1:15" ht="15.75">
      <c r="A123" s="86"/>
      <c r="B123" s="21"/>
      <c r="C123" s="552" t="str">
        <f>IF(D121="Yes","to calculate the soil carbon accumulation", " ")</f>
        <v xml:space="preserve"> </v>
      </c>
      <c r="D123" s="9"/>
      <c r="E123" s="547"/>
      <c r="F123" s="532"/>
      <c r="G123" s="532"/>
      <c r="H123" s="532"/>
      <c r="I123" s="3144" t="s">
        <v>633</v>
      </c>
      <c r="J123" s="3144"/>
      <c r="K123" s="3144"/>
      <c r="L123" s="3145"/>
      <c r="M123" s="22"/>
      <c r="N123" s="11"/>
      <c r="O123" s="11"/>
    </row>
    <row r="124" spans="1:15" ht="16.5">
      <c r="A124" s="86"/>
      <c r="B124" s="21"/>
      <c r="C124" s="552"/>
      <c r="D124" s="9"/>
      <c r="E124" s="547"/>
      <c r="F124" s="532"/>
      <c r="G124" s="532"/>
      <c r="H124" s="532"/>
      <c r="I124" s="74" t="s">
        <v>1453</v>
      </c>
      <c r="J124" s="74" t="s">
        <v>1454</v>
      </c>
      <c r="K124" s="565" t="s">
        <v>1455</v>
      </c>
      <c r="L124" s="565" t="s">
        <v>1456</v>
      </c>
      <c r="M124" s="22"/>
      <c r="N124" s="11"/>
      <c r="O124" s="11"/>
    </row>
    <row r="125" spans="1:15" ht="16.5">
      <c r="A125" s="86"/>
      <c r="B125" s="2691" t="s">
        <v>1702</v>
      </c>
      <c r="C125" s="548">
        <f>IF(D121="yes",'Esca (EnVer)'!$J$77,0)</f>
        <v>0</v>
      </c>
      <c r="D125" s="2637" t="s">
        <v>4</v>
      </c>
      <c r="E125" s="13"/>
      <c r="F125" s="9"/>
      <c r="G125" s="9"/>
      <c r="H125" s="9"/>
      <c r="I125" s="81">
        <f>$C125*1000000/$E$145</f>
        <v>0</v>
      </c>
      <c r="J125" s="81">
        <v>0</v>
      </c>
      <c r="K125" s="1280">
        <v>0</v>
      </c>
      <c r="L125" s="1279">
        <f>I125*'Standard values'!$D$10+J125*'Standard values'!$D$11+K125*'Standard values'!$D$12</f>
        <v>0</v>
      </c>
      <c r="M125" s="22"/>
      <c r="N125" s="11"/>
      <c r="O125" s="11"/>
    </row>
    <row r="126" spans="1:15">
      <c r="A126" s="13"/>
      <c r="B126" s="41"/>
      <c r="C126" s="41"/>
      <c r="D126" s="87"/>
      <c r="E126" s="13"/>
      <c r="F126" s="9"/>
      <c r="G126" s="9"/>
      <c r="H126" s="9"/>
      <c r="I126" s="75"/>
      <c r="J126" s="75"/>
      <c r="K126" s="1280"/>
      <c r="L126" s="550">
        <f>SUM(L125:L125)</f>
        <v>0</v>
      </c>
      <c r="M126" s="22"/>
      <c r="N126" s="11"/>
      <c r="O126" s="11"/>
    </row>
    <row r="127" spans="1:15">
      <c r="A127" s="13"/>
      <c r="B127" s="41"/>
      <c r="C127" s="41"/>
      <c r="D127" s="87"/>
      <c r="E127" s="13"/>
      <c r="F127" s="9"/>
      <c r="G127" s="9"/>
      <c r="H127" s="9"/>
      <c r="I127" s="75"/>
      <c r="J127" s="75"/>
      <c r="K127" s="1280"/>
      <c r="L127" s="550"/>
      <c r="M127" s="22"/>
      <c r="N127" s="11"/>
      <c r="O127" s="11"/>
    </row>
    <row r="128" spans="1:15" ht="14.25">
      <c r="A128" s="161"/>
      <c r="B128" s="162"/>
      <c r="C128" s="162"/>
      <c r="D128" s="162"/>
      <c r="E128" s="161"/>
      <c r="F128" s="163"/>
      <c r="G128" s="163"/>
      <c r="H128" s="163" t="s">
        <v>792</v>
      </c>
      <c r="I128" s="161"/>
      <c r="J128" s="164" t="s">
        <v>1451</v>
      </c>
      <c r="K128" s="167"/>
      <c r="L128" s="166">
        <f>L126</f>
        <v>0</v>
      </c>
      <c r="M128" s="22"/>
      <c r="N128" s="11"/>
      <c r="O128" s="11"/>
    </row>
    <row r="129" spans="1:15">
      <c r="A129" s="11"/>
      <c r="B129" s="11"/>
      <c r="C129" s="11"/>
      <c r="D129" s="11"/>
      <c r="E129" s="11"/>
      <c r="F129" s="43"/>
      <c r="G129" s="43"/>
      <c r="H129" s="43"/>
      <c r="I129" s="11"/>
      <c r="J129" s="44"/>
      <c r="K129" s="45"/>
      <c r="L129" s="67"/>
      <c r="M129" s="22"/>
      <c r="N129" s="11"/>
      <c r="O129" s="11"/>
    </row>
    <row r="130" spans="1:15">
      <c r="A130" s="11"/>
      <c r="B130" s="11"/>
      <c r="C130" s="11"/>
      <c r="D130" s="11"/>
      <c r="E130" s="11"/>
      <c r="F130" s="43"/>
      <c r="G130" s="43"/>
      <c r="H130" s="43"/>
      <c r="I130" s="11"/>
      <c r="J130" s="44"/>
      <c r="K130" s="45"/>
      <c r="L130" s="67"/>
      <c r="M130" s="22"/>
      <c r="N130" s="11"/>
      <c r="O130" s="11"/>
    </row>
    <row r="131" spans="1:15" ht="18.75">
      <c r="A131" s="168" t="s">
        <v>650</v>
      </c>
      <c r="B131" s="180"/>
      <c r="C131" s="181"/>
      <c r="D131" s="169"/>
      <c r="E131" s="182"/>
      <c r="F131" s="169"/>
      <c r="G131" s="169"/>
      <c r="H131" s="169"/>
      <c r="I131" s="169"/>
      <c r="J131" s="169"/>
      <c r="K131" s="169"/>
      <c r="L131" s="183"/>
      <c r="M131" s="22"/>
      <c r="N131" s="11"/>
      <c r="O131" s="11"/>
    </row>
    <row r="132" spans="1:15" ht="15.75">
      <c r="A132" s="86"/>
      <c r="B132" s="21" t="s">
        <v>1188</v>
      </c>
      <c r="C132" s="19"/>
      <c r="D132" s="9"/>
      <c r="E132" s="13"/>
      <c r="F132" s="9"/>
      <c r="G132" s="9"/>
      <c r="H132" s="9"/>
      <c r="I132" s="3144" t="s">
        <v>633</v>
      </c>
      <c r="J132" s="3144"/>
      <c r="K132" s="3144"/>
      <c r="L132" s="3145"/>
      <c r="M132" s="22"/>
      <c r="N132" s="11"/>
      <c r="O132" s="11"/>
    </row>
    <row r="133" spans="1:15" ht="15.75">
      <c r="A133" s="13"/>
      <c r="B133" s="41"/>
      <c r="C133" s="424">
        <v>0</v>
      </c>
      <c r="D133" s="1206" t="s">
        <v>608</v>
      </c>
      <c r="E133" s="13"/>
      <c r="F133" s="9"/>
      <c r="G133" s="9"/>
      <c r="H133" s="9"/>
      <c r="I133" s="13"/>
      <c r="J133" s="9"/>
      <c r="K133" s="70"/>
      <c r="L133" s="106">
        <f>C133</f>
        <v>0</v>
      </c>
      <c r="M133" s="22"/>
      <c r="N133" s="11"/>
      <c r="O133" s="11"/>
    </row>
    <row r="134" spans="1:15" ht="14.25">
      <c r="A134" s="161"/>
      <c r="B134" s="162"/>
      <c r="C134" s="209"/>
      <c r="D134" s="162"/>
      <c r="E134" s="161"/>
      <c r="F134" s="163"/>
      <c r="G134" s="163"/>
      <c r="H134" s="163" t="s">
        <v>792</v>
      </c>
      <c r="I134" s="161"/>
      <c r="J134" s="164" t="s">
        <v>1451</v>
      </c>
      <c r="K134" s="167"/>
      <c r="L134" s="166">
        <f>C133</f>
        <v>0</v>
      </c>
      <c r="M134" s="22"/>
      <c r="N134" s="11"/>
      <c r="O134" s="11"/>
    </row>
    <row r="135" spans="1:15">
      <c r="A135" s="11"/>
      <c r="B135" s="11"/>
      <c r="C135" s="11"/>
      <c r="D135" s="11"/>
      <c r="E135" s="11"/>
      <c r="F135" s="43"/>
      <c r="G135" s="43"/>
      <c r="H135" s="43"/>
      <c r="I135" s="11"/>
      <c r="J135" s="44"/>
      <c r="K135" s="45"/>
      <c r="L135" s="67"/>
      <c r="M135" s="22"/>
      <c r="N135" s="11"/>
      <c r="O135" s="11"/>
    </row>
    <row r="136" spans="1:15">
      <c r="A136" s="11"/>
      <c r="B136" s="11"/>
      <c r="C136" s="11"/>
      <c r="D136" s="11"/>
      <c r="E136" s="11"/>
      <c r="F136" s="43"/>
      <c r="G136" s="43"/>
      <c r="H136" s="43"/>
      <c r="I136" s="11"/>
      <c r="J136" s="44"/>
      <c r="K136" s="45"/>
      <c r="L136" s="67"/>
      <c r="M136" s="22"/>
      <c r="N136" s="11"/>
      <c r="O136" s="11"/>
    </row>
    <row r="137" spans="1:15" ht="18.75">
      <c r="A137" s="168" t="s">
        <v>649</v>
      </c>
      <c r="B137" s="180"/>
      <c r="C137" s="181"/>
      <c r="D137" s="169"/>
      <c r="E137" s="182"/>
      <c r="F137" s="169"/>
      <c r="G137" s="169"/>
      <c r="H137" s="169"/>
      <c r="I137" s="169"/>
      <c r="J137" s="169"/>
      <c r="K137" s="169"/>
      <c r="L137" s="183"/>
      <c r="M137" s="22"/>
      <c r="N137" s="11"/>
      <c r="O137" s="11"/>
    </row>
    <row r="138" spans="1:15" ht="15.75">
      <c r="A138" s="86"/>
      <c r="B138" s="21" t="s">
        <v>1189</v>
      </c>
      <c r="C138" s="19"/>
      <c r="D138" s="9"/>
      <c r="E138" s="13"/>
      <c r="F138" s="9"/>
      <c r="G138" s="9"/>
      <c r="H138" s="9"/>
      <c r="I138" s="3144" t="s">
        <v>633</v>
      </c>
      <c r="J138" s="3144"/>
      <c r="K138" s="3144"/>
      <c r="L138" s="3145"/>
      <c r="M138" s="22"/>
      <c r="N138" s="11"/>
      <c r="O138" s="11"/>
    </row>
    <row r="139" spans="1:15" ht="15.75">
      <c r="A139" s="13"/>
      <c r="B139" s="41"/>
      <c r="C139" s="424">
        <v>0</v>
      </c>
      <c r="D139" s="1206" t="s">
        <v>608</v>
      </c>
      <c r="E139" s="13"/>
      <c r="F139" s="9"/>
      <c r="G139" s="9"/>
      <c r="H139" s="9"/>
      <c r="I139" s="13"/>
      <c r="J139" s="9"/>
      <c r="K139" s="70"/>
      <c r="L139" s="106">
        <f>C139</f>
        <v>0</v>
      </c>
      <c r="M139" s="22"/>
      <c r="N139" s="11"/>
      <c r="O139" s="11"/>
    </row>
    <row r="140" spans="1:15" ht="14.25">
      <c r="A140" s="161"/>
      <c r="B140" s="162"/>
      <c r="C140" s="162"/>
      <c r="D140" s="162"/>
      <c r="E140" s="161"/>
      <c r="F140" s="163"/>
      <c r="G140" s="163"/>
      <c r="H140" s="163" t="s">
        <v>792</v>
      </c>
      <c r="I140" s="161"/>
      <c r="J140" s="164" t="s">
        <v>713</v>
      </c>
      <c r="K140" s="167"/>
      <c r="L140" s="166">
        <f>C139</f>
        <v>0</v>
      </c>
      <c r="M140" s="22"/>
      <c r="N140" s="11"/>
      <c r="O140" s="11"/>
    </row>
    <row r="141" spans="1:15">
      <c r="A141" s="11"/>
      <c r="B141" s="11"/>
      <c r="C141" s="11"/>
      <c r="D141" s="11"/>
      <c r="E141" s="11"/>
      <c r="F141" s="43"/>
      <c r="G141" s="43"/>
      <c r="H141" s="43"/>
      <c r="I141" s="11"/>
      <c r="J141" s="44"/>
      <c r="K141" s="45"/>
      <c r="L141" s="67"/>
      <c r="M141" s="22"/>
      <c r="N141" s="11"/>
      <c r="O141" s="11"/>
    </row>
    <row r="142" spans="1:15">
      <c r="A142" s="11"/>
      <c r="B142" s="11"/>
      <c r="C142" s="11"/>
      <c r="D142" s="11"/>
      <c r="E142" s="11"/>
      <c r="F142" s="43"/>
      <c r="G142" s="43"/>
      <c r="H142" s="43"/>
      <c r="I142" s="11"/>
      <c r="J142" s="44"/>
      <c r="K142" s="45"/>
      <c r="L142" s="67"/>
      <c r="M142" s="22"/>
      <c r="N142" s="11"/>
      <c r="O142" s="11"/>
    </row>
    <row r="143" spans="1:15" ht="15.75">
      <c r="A143" s="168" t="s">
        <v>651</v>
      </c>
      <c r="B143" s="169"/>
      <c r="C143" s="169"/>
      <c r="D143" s="169"/>
      <c r="E143" s="170" t="s">
        <v>800</v>
      </c>
      <c r="F143" s="172"/>
      <c r="G143" s="172"/>
      <c r="H143" s="172"/>
      <c r="I143" s="173"/>
      <c r="J143" s="171" t="s">
        <v>743</v>
      </c>
      <c r="K143" s="173"/>
      <c r="L143" s="174">
        <f>L78+L90+L98+L114-L128-L134-L140</f>
        <v>168.74574410515254</v>
      </c>
      <c r="M143" s="22"/>
      <c r="N143" s="11"/>
      <c r="O143" s="11"/>
    </row>
    <row r="144" spans="1:15" ht="15.75">
      <c r="A144" s="175"/>
      <c r="B144" s="176"/>
      <c r="C144" s="176"/>
      <c r="D144" s="176"/>
      <c r="E144" s="177"/>
      <c r="F144" s="177"/>
      <c r="G144" s="177"/>
      <c r="H144" s="177"/>
      <c r="I144" s="177"/>
      <c r="J144" s="177"/>
      <c r="K144" s="177"/>
      <c r="L144" s="178"/>
      <c r="M144" s="22"/>
      <c r="N144" s="11"/>
      <c r="O144" s="11"/>
    </row>
    <row r="145" spans="1:15" ht="15.75">
      <c r="A145" s="13"/>
      <c r="B145" s="9"/>
      <c r="C145" s="9"/>
      <c r="D145" s="1238" t="s">
        <v>652</v>
      </c>
      <c r="E145" s="88">
        <f>E21*C44*C55*C82*C94</f>
        <v>152544.12688334828</v>
      </c>
      <c r="F145" s="1148" t="s">
        <v>656</v>
      </c>
      <c r="G145" s="9"/>
      <c r="H145" s="9"/>
      <c r="I145" s="9"/>
      <c r="J145" s="9"/>
      <c r="K145" s="9"/>
      <c r="L145" s="89"/>
      <c r="M145" s="22"/>
      <c r="N145" s="11"/>
      <c r="O145" s="11"/>
    </row>
    <row r="146" spans="1:15" ht="15.75">
      <c r="A146" s="13"/>
      <c r="B146" s="9"/>
      <c r="C146" s="9"/>
      <c r="D146" s="1238" t="s">
        <v>653</v>
      </c>
      <c r="E146" s="90">
        <f>E145/E21</f>
        <v>0.54362598532209838</v>
      </c>
      <c r="F146" s="1148" t="s">
        <v>657</v>
      </c>
      <c r="G146" s="9"/>
      <c r="H146" s="9"/>
      <c r="I146" s="70"/>
      <c r="J146" s="9"/>
      <c r="K146" s="9"/>
      <c r="L146" s="89"/>
      <c r="M146" s="22"/>
      <c r="N146" s="11"/>
      <c r="O146" s="11"/>
    </row>
    <row r="147" spans="1:15">
      <c r="A147" s="13"/>
      <c r="B147" s="9"/>
      <c r="C147" s="9"/>
      <c r="D147" s="9"/>
      <c r="E147" s="9"/>
      <c r="F147" s="71"/>
      <c r="G147" s="71"/>
      <c r="H147" s="9"/>
      <c r="I147" s="70"/>
      <c r="J147" s="9"/>
      <c r="K147" s="9"/>
      <c r="L147" s="89"/>
      <c r="M147" s="22"/>
      <c r="N147" s="11"/>
      <c r="O147" s="11"/>
    </row>
    <row r="148" spans="1:15">
      <c r="A148" s="13"/>
      <c r="B148" s="9"/>
      <c r="C148" s="9"/>
      <c r="D148" s="9"/>
      <c r="E148" s="9"/>
      <c r="F148" s="71"/>
      <c r="G148" s="71"/>
      <c r="H148" s="9"/>
      <c r="I148" s="9"/>
      <c r="J148" s="9"/>
      <c r="K148" s="9"/>
      <c r="L148" s="89"/>
      <c r="M148" s="22"/>
      <c r="N148" s="11"/>
      <c r="O148" s="11"/>
    </row>
    <row r="149" spans="1:15" ht="14.25">
      <c r="A149" s="195"/>
      <c r="B149" s="196"/>
      <c r="C149" s="196"/>
      <c r="D149" s="196"/>
      <c r="E149" s="185" t="s">
        <v>643</v>
      </c>
      <c r="F149" s="203"/>
      <c r="G149" s="203"/>
      <c r="H149" s="204"/>
      <c r="I149" s="204"/>
      <c r="J149" s="185" t="s">
        <v>743</v>
      </c>
      <c r="K149" s="204"/>
      <c r="L149" s="205">
        <f>L40+L50+L69+L90+L98+L114-L128-L134-L140</f>
        <v>184.33073503952835</v>
      </c>
      <c r="M149" s="22"/>
      <c r="N149" s="11"/>
      <c r="O149" s="11"/>
    </row>
    <row r="150" spans="1:15" ht="14.25">
      <c r="A150" s="198"/>
      <c r="B150" s="199"/>
      <c r="C150" s="197"/>
      <c r="D150" s="196"/>
      <c r="E150" s="185" t="s">
        <v>742</v>
      </c>
      <c r="F150" s="204"/>
      <c r="G150" s="204"/>
      <c r="H150" s="204"/>
      <c r="I150" s="204"/>
      <c r="J150" s="185" t="s">
        <v>743</v>
      </c>
      <c r="K150" s="204"/>
      <c r="L150" s="206">
        <f>L78+L90+L98+L114-L128-L134-L140</f>
        <v>168.74574410515254</v>
      </c>
      <c r="M150" s="22"/>
      <c r="N150" s="11"/>
      <c r="O150" s="11"/>
    </row>
    <row r="151" spans="1:15">
      <c r="A151" s="195"/>
      <c r="B151" s="196"/>
      <c r="C151" s="196"/>
      <c r="D151" s="196"/>
      <c r="E151" s="204"/>
      <c r="F151" s="204"/>
      <c r="G151" s="204"/>
      <c r="H151" s="204"/>
      <c r="I151" s="204"/>
      <c r="J151" s="204"/>
      <c r="K151" s="204"/>
      <c r="L151" s="207"/>
      <c r="M151" s="22"/>
      <c r="N151" s="11"/>
      <c r="O151" s="11"/>
    </row>
    <row r="152" spans="1:15">
      <c r="A152" s="200"/>
      <c r="B152" s="201"/>
      <c r="C152" s="201"/>
      <c r="D152" s="201"/>
      <c r="E152" s="193" t="s">
        <v>644</v>
      </c>
      <c r="F152" s="194"/>
      <c r="G152" s="194"/>
      <c r="H152" s="194"/>
      <c r="I152" s="194"/>
      <c r="J152" s="194"/>
      <c r="K152" s="194"/>
      <c r="L152" s="1290">
        <f>(83.8-L150)/83.8</f>
        <v>-1.0136723640233001</v>
      </c>
      <c r="M152" s="22"/>
      <c r="N152" s="11"/>
      <c r="O152" s="11"/>
    </row>
    <row r="153" spans="1:15">
      <c r="M153" s="3"/>
    </row>
    <row r="154" spans="1:15">
      <c r="E154" s="2"/>
      <c r="F154" s="2"/>
      <c r="G154" s="2"/>
      <c r="H154" s="4"/>
      <c r="I154" s="2"/>
      <c r="J154" s="2"/>
      <c r="K154" s="2"/>
      <c r="L154" s="8"/>
      <c r="M154" s="3"/>
    </row>
    <row r="155" spans="1:15">
      <c r="F155" s="2"/>
      <c r="G155" s="2"/>
      <c r="H155" s="2"/>
      <c r="I155" s="68"/>
      <c r="J155" s="2"/>
      <c r="K155" s="2"/>
      <c r="L155" s="69"/>
      <c r="M155" s="34"/>
      <c r="N155" s="3"/>
    </row>
    <row r="156" spans="1:15">
      <c r="F156" s="2"/>
      <c r="G156" s="2"/>
      <c r="H156" s="2"/>
      <c r="I156" s="68"/>
      <c r="J156" s="2"/>
      <c r="K156" s="2"/>
      <c r="L156" s="69"/>
      <c r="M156" s="34"/>
      <c r="N156" s="3"/>
    </row>
    <row r="157" spans="1:15" ht="15.75">
      <c r="F157" s="35"/>
      <c r="G157" s="35"/>
      <c r="H157" s="2"/>
      <c r="I157" s="2"/>
      <c r="J157" s="2"/>
      <c r="K157" s="2"/>
      <c r="L157" s="2"/>
      <c r="M157" s="2"/>
      <c r="N157" s="3"/>
    </row>
    <row r="158" spans="1:15">
      <c r="F158" s="2"/>
      <c r="G158" s="2"/>
      <c r="H158" s="68"/>
      <c r="I158" s="2"/>
      <c r="J158" s="2"/>
      <c r="K158" s="2"/>
      <c r="L158" s="2"/>
      <c r="M158" s="2"/>
      <c r="N158" s="2"/>
    </row>
    <row r="159" spans="1:15">
      <c r="F159" s="68"/>
      <c r="G159" s="68"/>
      <c r="H159" s="2"/>
      <c r="I159" s="24"/>
      <c r="J159" s="2"/>
      <c r="K159" s="2"/>
      <c r="L159" s="2"/>
      <c r="M159" s="2"/>
      <c r="N159" s="2"/>
    </row>
    <row r="160" spans="1:15">
      <c r="F160" s="68"/>
      <c r="G160" s="68"/>
      <c r="H160" s="2"/>
      <c r="I160" s="24"/>
      <c r="J160" s="2"/>
      <c r="K160" s="2"/>
      <c r="L160" s="2"/>
      <c r="M160" s="2"/>
      <c r="N160" s="2"/>
    </row>
    <row r="161" spans="6:14">
      <c r="F161" s="2"/>
      <c r="G161" s="2"/>
      <c r="H161" s="34"/>
      <c r="I161" s="2"/>
      <c r="J161" s="2"/>
      <c r="K161" s="2"/>
      <c r="L161" s="2"/>
      <c r="M161" s="2"/>
      <c r="N161" s="2"/>
    </row>
    <row r="162" spans="6:14">
      <c r="F162" s="2"/>
      <c r="G162" s="2"/>
      <c r="H162" s="2"/>
      <c r="I162" s="2"/>
      <c r="J162" s="2"/>
      <c r="K162" s="2"/>
      <c r="L162" s="2"/>
      <c r="M162" s="2"/>
      <c r="N162" s="2"/>
    </row>
    <row r="163" spans="6:14">
      <c r="F163" s="2"/>
      <c r="G163" s="2"/>
      <c r="H163" s="2"/>
      <c r="I163" s="2"/>
      <c r="J163" s="2"/>
      <c r="K163" s="2"/>
      <c r="L163" s="2"/>
      <c r="M163" s="2"/>
      <c r="N163" s="2"/>
    </row>
    <row r="164" spans="6:14">
      <c r="F164" s="2"/>
      <c r="G164" s="2"/>
      <c r="H164" s="2"/>
      <c r="I164" s="2"/>
      <c r="J164" s="2"/>
      <c r="K164" s="2"/>
      <c r="L164" s="2"/>
      <c r="M164" s="2"/>
      <c r="N164" s="2"/>
    </row>
    <row r="165" spans="6:14">
      <c r="F165" s="2"/>
      <c r="G165" s="2"/>
      <c r="H165" s="2"/>
      <c r="I165" s="2"/>
      <c r="J165" s="2"/>
      <c r="K165" s="2"/>
      <c r="L165" s="2"/>
      <c r="M165" s="2"/>
      <c r="N165" s="2"/>
    </row>
    <row r="166" spans="6:14">
      <c r="F166" s="2"/>
      <c r="G166" s="2"/>
      <c r="H166" s="2"/>
      <c r="I166" s="2"/>
      <c r="J166" s="2"/>
      <c r="K166" s="2"/>
      <c r="L166" s="2"/>
      <c r="M166" s="2"/>
      <c r="N166" s="2"/>
    </row>
    <row r="167" spans="6:14">
      <c r="F167" s="2"/>
      <c r="G167" s="2"/>
      <c r="H167" s="2"/>
      <c r="I167" s="2"/>
      <c r="J167" s="2"/>
      <c r="K167" s="2"/>
      <c r="L167" s="2"/>
      <c r="M167" s="2"/>
      <c r="N167" s="2"/>
    </row>
    <row r="168" spans="6:14">
      <c r="F168" s="2"/>
      <c r="G168" s="2"/>
      <c r="H168" s="2"/>
      <c r="I168" s="2"/>
      <c r="J168" s="2"/>
      <c r="K168" s="2"/>
      <c r="L168" s="2"/>
      <c r="M168" s="2"/>
      <c r="N168" s="2"/>
    </row>
    <row r="169" spans="6:14">
      <c r="F169" s="2"/>
      <c r="G169" s="2"/>
      <c r="H169" s="2"/>
      <c r="I169" s="2"/>
      <c r="J169" s="2"/>
      <c r="K169" s="2"/>
      <c r="L169" s="2"/>
      <c r="M169" s="2"/>
      <c r="N169" s="2"/>
    </row>
    <row r="170" spans="6:14">
      <c r="F170" s="2"/>
      <c r="G170" s="2"/>
      <c r="H170" s="2"/>
      <c r="I170" s="2"/>
      <c r="J170" s="2"/>
      <c r="K170" s="2"/>
      <c r="L170" s="2"/>
      <c r="M170" s="2"/>
      <c r="N170" s="2"/>
    </row>
    <row r="171" spans="6:14">
      <c r="F171" s="2"/>
      <c r="G171" s="2"/>
      <c r="H171" s="2"/>
      <c r="I171" s="2"/>
      <c r="J171" s="2"/>
      <c r="K171" s="2"/>
      <c r="L171" s="2"/>
      <c r="M171" s="2"/>
      <c r="N171" s="2"/>
    </row>
    <row r="172" spans="6:14">
      <c r="F172" s="2"/>
      <c r="G172" s="2"/>
      <c r="H172" s="2"/>
      <c r="I172" s="2"/>
      <c r="J172" s="2"/>
      <c r="K172" s="2"/>
      <c r="L172" s="2"/>
      <c r="M172" s="2"/>
      <c r="N172" s="2"/>
    </row>
    <row r="173" spans="6:14">
      <c r="F173" s="2"/>
      <c r="G173" s="2"/>
      <c r="H173" s="2"/>
      <c r="I173" s="2"/>
      <c r="J173" s="2"/>
      <c r="K173" s="2"/>
      <c r="L173" s="2"/>
      <c r="M173" s="2"/>
      <c r="N173" s="2"/>
    </row>
  </sheetData>
  <customSheetViews>
    <customSheetView guid="{AD88818B-9F97-4B1E-9426-0DECE603685E}" scale="80" showGridLines="0" fitToPage="1" showRuler="0">
      <pane ySplit="18" topLeftCell="A19"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 guid="{7EB5D807-CE20-46E2-AEE6-2C193E010EA4}" scale="80" showGridLines="0" fitToPage="1" showRuler="0">
      <pane ySplit="18" topLeftCell="A19"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s>
  <mergeCells count="58">
    <mergeCell ref="A94:B94"/>
    <mergeCell ref="I94:L94"/>
    <mergeCell ref="E81:H81"/>
    <mergeCell ref="I81:L81"/>
    <mergeCell ref="I82:L82"/>
    <mergeCell ref="A19:D19"/>
    <mergeCell ref="E19:H19"/>
    <mergeCell ref="E20:H20"/>
    <mergeCell ref="K6:L6"/>
    <mergeCell ref="A54:D54"/>
    <mergeCell ref="A45:A46"/>
    <mergeCell ref="B45:B46"/>
    <mergeCell ref="A48:A49"/>
    <mergeCell ref="B48:B49"/>
    <mergeCell ref="C48:C49"/>
    <mergeCell ref="B4:B5"/>
    <mergeCell ref="C4:C5"/>
    <mergeCell ref="D4:D5"/>
    <mergeCell ref="E4:E5"/>
    <mergeCell ref="F4:F5"/>
    <mergeCell ref="N7:O7"/>
    <mergeCell ref="N5:O5"/>
    <mergeCell ref="F103:L104"/>
    <mergeCell ref="F105:L106"/>
    <mergeCell ref="H4:H5"/>
    <mergeCell ref="N4:O4"/>
    <mergeCell ref="J4:L4"/>
    <mergeCell ref="J5:L5"/>
    <mergeCell ref="I44:L44"/>
    <mergeCell ref="I43:L43"/>
    <mergeCell ref="E43:H43"/>
    <mergeCell ref="I72:K73"/>
    <mergeCell ref="E72:H73"/>
    <mergeCell ref="N72:N73"/>
    <mergeCell ref="L72:L73"/>
    <mergeCell ref="E93:H93"/>
    <mergeCell ref="N8:O8"/>
    <mergeCell ref="N19:O19"/>
    <mergeCell ref="I20:L20"/>
    <mergeCell ref="I40:K40"/>
    <mergeCell ref="N45:N46"/>
    <mergeCell ref="I19:L19"/>
    <mergeCell ref="I132:L132"/>
    <mergeCell ref="I138:L138"/>
    <mergeCell ref="A2:I2"/>
    <mergeCell ref="I107:L107"/>
    <mergeCell ref="A104:B104"/>
    <mergeCell ref="I123:L123"/>
    <mergeCell ref="I118:L118"/>
    <mergeCell ref="F119:L120"/>
    <mergeCell ref="E53:H53"/>
    <mergeCell ref="I53:L53"/>
    <mergeCell ref="I54:L54"/>
    <mergeCell ref="I61:L61"/>
    <mergeCell ref="F74:H74"/>
    <mergeCell ref="A20:D20"/>
    <mergeCell ref="F121:L122"/>
    <mergeCell ref="A4:A5"/>
  </mergeCells>
  <phoneticPr fontId="0" type="noConversion"/>
  <conditionalFormatting sqref="O17 O9:O10">
    <cfRule type="cellIs" dxfId="24" priority="4" stopIfTrue="1" operator="notBetween">
      <formula>-0.05</formula>
      <formula>0.05</formula>
    </cfRule>
  </conditionalFormatting>
  <conditionalFormatting sqref="E7">
    <cfRule type="expression" dxfId="23" priority="3" stopIfTrue="1">
      <formula>($E7&lt;&gt;"")</formula>
    </cfRule>
  </conditionalFormatting>
  <conditionalFormatting sqref="E9">
    <cfRule type="expression" dxfId="22" priority="2" stopIfTrue="1">
      <formula>($E9&lt;&gt;"")</formula>
    </cfRule>
  </conditionalFormatting>
  <conditionalFormatting sqref="E11:E13">
    <cfRule type="expression" dxfId="21" priority="1" stopIfTrue="1">
      <formula>($E11&lt;&gt;"")</formula>
    </cfRule>
  </conditionalFormatting>
  <dataValidations count="3">
    <dataValidation type="list" showDropDown="1" showInputMessage="1" showErrorMessage="1" errorTitle="Wrong input" error="Only values &quot;0&quot; and &quot;-29&quot; are allowed_x000a_" sqref="C111">
      <formula1>"0,-29"</formula1>
    </dataValidation>
    <dataValidation type="list" allowBlank="1" showInputMessage="1" showErrorMessage="1" sqref="F10 F6 F8">
      <formula1>"A,D"</formula1>
    </dataValidation>
    <dataValidation type="list" allowBlank="1" showInputMessage="1" showErrorMessage="1" sqref="E7 E9 E11:E13">
      <formula1>"- ,Individual result of previous calculation, Combined result of previous calculation"</formula1>
    </dataValidation>
  </dataValidations>
  <hyperlinks>
    <hyperlink ref="C122" location="Esca!A1" display="Esca!A1"/>
    <hyperlink ref="E1:F1" r:id="rId1" display="http://www.biograce.net/"/>
  </hyperlinks>
  <pageMargins left="0.75" right="0.75" top="1" bottom="1" header="0.5" footer="0.5"/>
  <pageSetup paperSize="9" orientation="portrait" verticalDpi="0" r:id="rId2"/>
  <headerFooter alignWithMargins="0">
    <oddFooter>&amp;L&amp;8&amp;F&amp;C&amp;8&amp;A&amp;R&amp;8page&amp;P</oddFooter>
  </headerFooter>
  <drawing r:id="rId3"/>
  <legacyDrawing r:id="rId4"/>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sheetPr codeName="Blad25">
    <pageSetUpPr fitToPage="1"/>
  </sheetPr>
  <dimension ref="A1:R173"/>
  <sheetViews>
    <sheetView showGridLines="0" zoomScaleNormal="100" workbookViewId="0">
      <selection activeCell="Q18" sqref="A1:Q18"/>
    </sheetView>
  </sheetViews>
  <sheetFormatPr defaultColWidth="8.85546875" defaultRowHeight="12.75"/>
  <cols>
    <col min="1" max="1" width="22.42578125" style="2184" customWidth="1"/>
    <col min="2" max="2" width="25.85546875" style="2184" customWidth="1"/>
    <col min="3" max="3" width="9.7109375" style="2184" customWidth="1"/>
    <col min="4" max="4" width="20.140625" style="2184" customWidth="1"/>
    <col min="5" max="5" width="14.85546875" style="2184" customWidth="1"/>
    <col min="6" max="6" width="8.42578125" style="2184" customWidth="1"/>
    <col min="7" max="7" width="2.85546875" style="2184" customWidth="1"/>
    <col min="8" max="8" width="19.42578125" style="2184" customWidth="1"/>
    <col min="9" max="12" width="9.140625" style="2184" customWidth="1"/>
    <col min="13" max="13" width="2.42578125" style="2184" customWidth="1"/>
    <col min="14" max="14" width="16.7109375" style="2184" customWidth="1"/>
    <col min="15" max="15" width="13.7109375" style="2184" customWidth="1"/>
    <col min="16" max="16384" width="8.85546875" style="2183"/>
  </cols>
  <sheetData>
    <row r="1" spans="1:18" ht="102.75" customHeight="1"/>
    <row r="2" spans="1:18" ht="27.75" customHeight="1">
      <c r="A2" s="2470" t="s">
        <v>193</v>
      </c>
      <c r="B2" s="2469" t="s">
        <v>1408</v>
      </c>
      <c r="C2" s="2468" t="s">
        <v>1417</v>
      </c>
      <c r="D2" s="2468" t="s">
        <v>192</v>
      </c>
      <c r="E2" s="2468" t="s">
        <v>191</v>
      </c>
      <c r="F2" s="2467"/>
      <c r="G2" s="2467"/>
      <c r="H2" s="2466"/>
      <c r="I2" s="2462"/>
      <c r="J2" s="2465"/>
      <c r="K2" s="2464"/>
      <c r="L2" s="2463"/>
      <c r="M2" s="2462"/>
      <c r="N2" s="2462"/>
      <c r="O2" s="2461" t="str">
        <f>[3]About!D2</f>
        <v>Version 4 - Public</v>
      </c>
    </row>
    <row r="3" spans="1:18" ht="27.75" customHeight="1">
      <c r="A3" s="2460" t="s">
        <v>190</v>
      </c>
      <c r="B3" s="2458"/>
      <c r="C3" s="2459"/>
      <c r="D3" s="2459"/>
      <c r="E3" s="2458"/>
      <c r="F3" s="2458"/>
      <c r="G3" s="2458"/>
      <c r="H3" s="2295"/>
      <c r="I3" s="2233"/>
      <c r="J3" s="2457"/>
      <c r="K3" s="2297"/>
      <c r="L3" s="2457"/>
      <c r="M3" s="2457"/>
      <c r="N3" s="2194"/>
      <c r="O3" s="2297"/>
    </row>
    <row r="4" spans="1:18" ht="16.5" customHeight="1">
      <c r="A4" s="2456" t="s">
        <v>189</v>
      </c>
      <c r="B4" s="2455" t="s">
        <v>188</v>
      </c>
      <c r="C4" s="2455" t="s">
        <v>150</v>
      </c>
      <c r="D4" s="2455" t="s">
        <v>187</v>
      </c>
      <c r="E4" s="2454" t="s">
        <v>151</v>
      </c>
      <c r="F4" s="2453" t="s">
        <v>186</v>
      </c>
      <c r="G4" s="2452"/>
      <c r="H4" s="2451" t="s">
        <v>185</v>
      </c>
      <c r="I4" s="2293"/>
      <c r="J4" s="2449" t="s">
        <v>184</v>
      </c>
      <c r="K4" s="2226"/>
      <c r="L4" s="2450"/>
      <c r="M4" s="2193"/>
      <c r="N4" s="2449" t="s">
        <v>183</v>
      </c>
      <c r="O4" s="2448"/>
    </row>
    <row r="5" spans="1:18" ht="16.5" customHeight="1">
      <c r="A5" s="2447" t="s">
        <v>182</v>
      </c>
      <c r="B5" s="2446" t="s">
        <v>180</v>
      </c>
      <c r="C5" s="2446" t="s">
        <v>181</v>
      </c>
      <c r="D5" s="2446" t="s">
        <v>180</v>
      </c>
      <c r="E5" s="2445"/>
      <c r="F5" s="2444" t="s">
        <v>179</v>
      </c>
      <c r="G5" s="2443"/>
      <c r="H5" s="2442" t="s">
        <v>178</v>
      </c>
      <c r="I5" s="2193"/>
      <c r="J5" s="2412" t="str">
        <f>A53</f>
        <v>Ethanol plant</v>
      </c>
      <c r="K5" s="2441"/>
      <c r="L5" s="2429"/>
      <c r="M5" s="2193"/>
      <c r="N5" s="2412" t="s">
        <v>177</v>
      </c>
      <c r="O5" s="2429"/>
    </row>
    <row r="6" spans="1:18" ht="16.5" customHeight="1">
      <c r="A6" s="2424" t="s">
        <v>176</v>
      </c>
      <c r="B6" s="2440"/>
      <c r="C6" s="2439"/>
      <c r="D6" s="2438"/>
      <c r="E6" s="2437">
        <f>IF(F6="A",D7,H6)</f>
        <v>11.520094981868489</v>
      </c>
      <c r="F6" s="2422" t="s">
        <v>1486</v>
      </c>
      <c r="G6" s="2421"/>
      <c r="H6" s="2420">
        <v>12</v>
      </c>
      <c r="I6" s="2193"/>
      <c r="J6" s="2436">
        <f>F75/F77</f>
        <v>0.71299999999999997</v>
      </c>
      <c r="K6" s="2315" t="s">
        <v>1438</v>
      </c>
      <c r="L6" s="2435"/>
      <c r="M6" s="2193"/>
      <c r="N6" s="2434">
        <v>83.8</v>
      </c>
      <c r="O6" s="2433" t="s">
        <v>175</v>
      </c>
    </row>
    <row r="7" spans="1:18" ht="12" customHeight="1">
      <c r="A7" s="2412" t="str">
        <f>A19</f>
        <v>Cultivation of sugarbeet</v>
      </c>
      <c r="B7" s="2411">
        <f>L40</f>
        <v>16.157215963349916</v>
      </c>
      <c r="C7" s="2419">
        <f>J6</f>
        <v>0.71299999999999997</v>
      </c>
      <c r="D7" s="2247">
        <f>C7*B7</f>
        <v>11.520094981868489</v>
      </c>
      <c r="E7" s="2426"/>
      <c r="F7" s="2417"/>
      <c r="G7" s="2417"/>
      <c r="H7" s="2254">
        <v>11.54</v>
      </c>
      <c r="I7" s="2193"/>
      <c r="J7" s="2432">
        <f>1-J6</f>
        <v>0.28700000000000003</v>
      </c>
      <c r="K7" s="2431" t="s">
        <v>174</v>
      </c>
      <c r="L7" s="2430"/>
      <c r="M7" s="2193"/>
      <c r="N7" s="2412" t="s">
        <v>173</v>
      </c>
      <c r="O7" s="2429"/>
    </row>
    <row r="8" spans="1:18" ht="16.5" customHeight="1">
      <c r="A8" s="2424" t="s">
        <v>172</v>
      </c>
      <c r="B8" s="2201"/>
      <c r="C8" s="2201"/>
      <c r="D8" s="2423"/>
      <c r="E8" s="2404">
        <f>IF(F8="A",D9,H8)</f>
        <v>26.404755812870121</v>
      </c>
      <c r="F8" s="2422" t="s">
        <v>1486</v>
      </c>
      <c r="G8" s="2421"/>
      <c r="H8" s="2420">
        <v>26</v>
      </c>
      <c r="I8" s="2193"/>
      <c r="J8" s="2193"/>
      <c r="K8" s="2193"/>
      <c r="L8" s="2193"/>
      <c r="M8" s="2193"/>
      <c r="N8" s="2428">
        <f>(N6-E16)/N6</f>
        <v>0.51959030282452812</v>
      </c>
      <c r="O8" s="2427"/>
    </row>
    <row r="9" spans="1:18" ht="12" customHeight="1">
      <c r="A9" s="2412" t="str">
        <f>A53</f>
        <v>Ethanol plant</v>
      </c>
      <c r="B9" s="2411">
        <f>L69</f>
        <v>37.03331811061728</v>
      </c>
      <c r="C9" s="2419">
        <f>J6</f>
        <v>0.71299999999999997</v>
      </c>
      <c r="D9" s="2247">
        <f>C9*B9</f>
        <v>26.404755812870121</v>
      </c>
      <c r="E9" s="2426"/>
      <c r="F9" s="2417"/>
      <c r="G9" s="2417"/>
      <c r="H9" s="2254">
        <f>1.4*18.87</f>
        <v>26.417999999999999</v>
      </c>
      <c r="I9" s="2193"/>
      <c r="J9" s="2193"/>
      <c r="K9" s="2193"/>
      <c r="L9" s="2193"/>
      <c r="M9" s="2193"/>
      <c r="N9" s="2193"/>
      <c r="O9" s="2425"/>
    </row>
    <row r="10" spans="1:18" ht="16.5" customHeight="1" thickBot="1">
      <c r="A10" s="2424" t="s">
        <v>171</v>
      </c>
      <c r="B10" s="2201"/>
      <c r="C10" s="2201"/>
      <c r="D10" s="2423"/>
      <c r="E10" s="2404">
        <f>IF(F10="A",D11+D12+D13, H10)</f>
        <v>2.333481828565926</v>
      </c>
      <c r="F10" s="2422" t="s">
        <v>1486</v>
      </c>
      <c r="G10" s="2421"/>
      <c r="H10" s="2420">
        <v>2</v>
      </c>
      <c r="I10" s="2193"/>
      <c r="J10" s="2193"/>
      <c r="K10" s="2193"/>
      <c r="L10" s="2193"/>
      <c r="M10" s="2193"/>
      <c r="N10" s="2193"/>
      <c r="O10" s="2329"/>
    </row>
    <row r="11" spans="1:18" ht="12" customHeight="1">
      <c r="A11" s="2412" t="str">
        <f>A43</f>
        <v>Transport of sugarbeet</v>
      </c>
      <c r="B11" s="2411">
        <f>L50</f>
        <v>1.1125702269938651</v>
      </c>
      <c r="C11" s="2419">
        <f>J6</f>
        <v>0.71299999999999997</v>
      </c>
      <c r="D11" s="2247">
        <f>C11*B11</f>
        <v>0.79326257184662574</v>
      </c>
      <c r="E11" s="2418"/>
      <c r="F11" s="2417"/>
      <c r="G11" s="2417"/>
      <c r="H11" s="2254">
        <f>0.84</f>
        <v>0.84</v>
      </c>
      <c r="I11" s="2193"/>
      <c r="J11" s="2416" t="s">
        <v>170</v>
      </c>
      <c r="K11" s="2381"/>
      <c r="L11" s="2381"/>
      <c r="M11" s="2381"/>
      <c r="N11" s="2415"/>
      <c r="O11" s="2414"/>
      <c r="P11" s="2390"/>
      <c r="Q11" s="2390"/>
      <c r="R11" s="2390"/>
    </row>
    <row r="12" spans="1:18" ht="12" customHeight="1">
      <c r="A12" s="2412" t="str">
        <f>A81</f>
        <v>Transport of ethanol</v>
      </c>
      <c r="B12" s="2411">
        <f>L90</f>
        <v>1.0989339178304116</v>
      </c>
      <c r="C12" s="2410">
        <v>1</v>
      </c>
      <c r="D12" s="2247">
        <f>C12*B12</f>
        <v>1.0989339178304116</v>
      </c>
      <c r="E12" s="2337"/>
      <c r="F12" s="2298"/>
      <c r="G12" s="2298"/>
      <c r="H12" s="2254">
        <f>1.1</f>
        <v>1.1000000000000001</v>
      </c>
      <c r="I12" s="2193"/>
      <c r="J12" s="2401"/>
      <c r="K12" s="2376"/>
      <c r="L12" s="2376"/>
      <c r="M12" s="2376"/>
      <c r="N12" s="2413"/>
      <c r="O12" s="2390"/>
      <c r="P12" s="2390"/>
      <c r="Q12" s="2390"/>
      <c r="R12" s="2390"/>
    </row>
    <row r="13" spans="1:18" ht="12" customHeight="1">
      <c r="A13" s="2412" t="str">
        <f>A93</f>
        <v>Filling station</v>
      </c>
      <c r="B13" s="2411">
        <f>L98</f>
        <v>0.44128533888888882</v>
      </c>
      <c r="C13" s="2410">
        <v>1</v>
      </c>
      <c r="D13" s="2247">
        <f>C13*B13</f>
        <v>0.44128533888888882</v>
      </c>
      <c r="E13" s="2337"/>
      <c r="F13" s="2298"/>
      <c r="G13" s="2298"/>
      <c r="H13" s="2254">
        <f>0.44</f>
        <v>0.44</v>
      </c>
      <c r="I13" s="2193"/>
      <c r="J13" s="2401"/>
      <c r="K13" s="2376"/>
      <c r="L13" s="2376"/>
      <c r="M13" s="2377"/>
      <c r="N13" s="2409"/>
      <c r="O13" s="2390"/>
      <c r="P13" s="2390"/>
      <c r="Q13" s="2390"/>
      <c r="R13" s="2390"/>
    </row>
    <row r="14" spans="1:18" ht="17.25" customHeight="1">
      <c r="A14" s="2407" t="s">
        <v>169</v>
      </c>
      <c r="B14" s="2405">
        <f>L114</f>
        <v>0</v>
      </c>
      <c r="C14" s="2408">
        <f>J6</f>
        <v>0.71299999999999997</v>
      </c>
      <c r="D14" s="2405">
        <f>C14*B14</f>
        <v>0</v>
      </c>
      <c r="E14" s="2404">
        <f>D14</f>
        <v>0</v>
      </c>
      <c r="F14" s="2403"/>
      <c r="G14" s="2403"/>
      <c r="H14" s="2402">
        <v>0</v>
      </c>
      <c r="I14" s="2193"/>
      <c r="J14" s="2401"/>
      <c r="K14" s="2376"/>
      <c r="L14" s="2376"/>
      <c r="M14" s="2392"/>
      <c r="N14" s="2391"/>
      <c r="O14" s="2390"/>
      <c r="P14" s="2390"/>
      <c r="Q14" s="2390"/>
      <c r="R14" s="2390"/>
    </row>
    <row r="15" spans="1:18" ht="16.5" customHeight="1">
      <c r="A15" s="2407" t="s">
        <v>1194</v>
      </c>
      <c r="B15" s="2405">
        <f>L128+L134+L140</f>
        <v>0</v>
      </c>
      <c r="C15" s="2406">
        <v>1</v>
      </c>
      <c r="D15" s="2405">
        <f>C15*B15</f>
        <v>0</v>
      </c>
      <c r="E15" s="2404">
        <f>D15</f>
        <v>0</v>
      </c>
      <c r="F15" s="2403"/>
      <c r="G15" s="2403"/>
      <c r="H15" s="2402">
        <v>0</v>
      </c>
      <c r="I15" s="2193"/>
      <c r="J15" s="2401"/>
      <c r="K15" s="2376"/>
      <c r="L15" s="2376"/>
      <c r="M15" s="2392"/>
      <c r="N15" s="2391"/>
      <c r="O15" s="2390"/>
      <c r="P15" s="2390"/>
      <c r="Q15" s="2390"/>
      <c r="R15" s="2390"/>
    </row>
    <row r="16" spans="1:18" ht="16.5" customHeight="1" thickBot="1">
      <c r="A16" s="2400" t="s">
        <v>168</v>
      </c>
      <c r="B16" s="2399">
        <f>SUM(B7:B14)-B15</f>
        <v>55.843323557680371</v>
      </c>
      <c r="C16" s="2398"/>
      <c r="D16" s="2397"/>
      <c r="E16" s="2396">
        <f>SUM(E6:E14)-E15</f>
        <v>40.25833262330454</v>
      </c>
      <c r="F16" s="2395"/>
      <c r="G16" s="2395"/>
      <c r="H16" s="2394">
        <v>40</v>
      </c>
      <c r="I16" s="2194"/>
      <c r="J16" s="2393" t="s">
        <v>167</v>
      </c>
      <c r="K16" s="2376"/>
      <c r="L16" s="2376"/>
      <c r="M16" s="2392"/>
      <c r="N16" s="2391"/>
      <c r="O16" s="2390"/>
      <c r="P16" s="2390"/>
      <c r="Q16" s="2390"/>
      <c r="R16" s="2390"/>
    </row>
    <row r="17" spans="1:15" ht="16.5" customHeight="1">
      <c r="A17" s="2389"/>
      <c r="B17" s="2388"/>
      <c r="E17" s="2387" t="s">
        <v>166</v>
      </c>
      <c r="F17" s="2386"/>
      <c r="G17" s="2386"/>
      <c r="H17" s="2385"/>
      <c r="I17" s="2384"/>
      <c r="J17" s="2383"/>
      <c r="K17" s="2381"/>
      <c r="L17" s="2382"/>
      <c r="M17" s="2381"/>
      <c r="N17" s="2381"/>
      <c r="O17" s="2380"/>
    </row>
    <row r="18" spans="1:15" ht="22.5" customHeight="1" thickBot="1">
      <c r="A18" s="2379" t="s">
        <v>1452</v>
      </c>
      <c r="B18" s="2194"/>
      <c r="E18" s="2378" t="s">
        <v>165</v>
      </c>
      <c r="F18" s="2377"/>
      <c r="G18" s="2377"/>
      <c r="H18" s="2377"/>
      <c r="I18" s="2376"/>
      <c r="J18" s="2375"/>
      <c r="K18" s="2375"/>
      <c r="L18" s="2374"/>
      <c r="M18" s="2373"/>
      <c r="N18" s="2373"/>
      <c r="O18" s="2372"/>
    </row>
    <row r="19" spans="1:15" ht="15.75">
      <c r="A19" s="2229" t="s">
        <v>164</v>
      </c>
      <c r="B19" s="2370"/>
      <c r="C19" s="2370"/>
      <c r="D19" s="2370"/>
      <c r="E19" s="2371" t="s">
        <v>239</v>
      </c>
      <c r="F19" s="2368"/>
      <c r="G19" s="2368"/>
      <c r="H19" s="2370"/>
      <c r="I19" s="2369" t="s">
        <v>261</v>
      </c>
      <c r="J19" s="2368"/>
      <c r="K19" s="2368"/>
      <c r="L19" s="2367"/>
      <c r="M19" s="2366"/>
      <c r="N19" s="2365" t="s">
        <v>258</v>
      </c>
      <c r="O19" s="2364"/>
    </row>
    <row r="20" spans="1:15" ht="15.75">
      <c r="A20" s="2363"/>
      <c r="B20" s="2362" t="s">
        <v>1428</v>
      </c>
      <c r="C20" s="2361"/>
      <c r="D20" s="2361"/>
      <c r="E20" s="2360" t="s">
        <v>1428</v>
      </c>
      <c r="F20" s="2358"/>
      <c r="G20" s="2358"/>
      <c r="H20" s="2359"/>
      <c r="I20" s="2246" t="s">
        <v>243</v>
      </c>
      <c r="J20" s="2358"/>
      <c r="K20" s="2358"/>
      <c r="L20" s="2357"/>
      <c r="M20" s="2330"/>
      <c r="N20" s="2280" t="s">
        <v>156</v>
      </c>
      <c r="O20" s="2356" t="s">
        <v>163</v>
      </c>
    </row>
    <row r="21" spans="1:15" ht="16.5">
      <c r="A21" s="2355"/>
      <c r="B21" s="2212" t="s">
        <v>1346</v>
      </c>
      <c r="C21" s="2354">
        <v>68860.103411513905</v>
      </c>
      <c r="D21" s="2255" t="s">
        <v>1430</v>
      </c>
      <c r="E21" s="2353">
        <f>C21*(1-C22)*VLOOKUP($B21,'[3]Standard values'!$C$9:$S$159,14, FALSE)</f>
        <v>280604.92140191916</v>
      </c>
      <c r="F21" s="2212" t="s">
        <v>157</v>
      </c>
      <c r="G21" s="2212"/>
      <c r="H21" s="2278"/>
      <c r="I21" s="2352" t="s">
        <v>1453</v>
      </c>
      <c r="J21" s="2352" t="s">
        <v>1454</v>
      </c>
      <c r="K21" s="2352" t="s">
        <v>245</v>
      </c>
      <c r="L21" s="2277" t="s">
        <v>1456</v>
      </c>
      <c r="M21" s="2194"/>
      <c r="N21" s="2277" t="s">
        <v>1456</v>
      </c>
      <c r="O21" s="2277" t="s">
        <v>162</v>
      </c>
    </row>
    <row r="22" spans="1:15" ht="15.75">
      <c r="A22" s="2214"/>
      <c r="B22" s="2212" t="s">
        <v>1425</v>
      </c>
      <c r="C22" s="2351">
        <v>0.75</v>
      </c>
      <c r="D22" s="2255"/>
      <c r="E22" s="2279">
        <v>1</v>
      </c>
      <c r="F22" s="2278" t="s">
        <v>255</v>
      </c>
      <c r="G22" s="2278"/>
      <c r="H22" s="2212"/>
      <c r="I22" s="2257"/>
      <c r="J22" s="2343"/>
      <c r="K22" s="2343"/>
      <c r="L22" s="2342"/>
      <c r="M22" s="2194"/>
      <c r="N22" s="2275"/>
      <c r="O22" s="2275"/>
    </row>
    <row r="23" spans="1:15" ht="15.75">
      <c r="A23" s="2214"/>
      <c r="B23" s="2212"/>
      <c r="C23" s="2348"/>
      <c r="D23" s="2255"/>
      <c r="E23" s="2321">
        <f>+C21/E145</f>
        <v>0.45141104294478529</v>
      </c>
      <c r="F23" s="2278" t="s">
        <v>161</v>
      </c>
      <c r="G23" s="2278"/>
      <c r="H23" s="2212"/>
      <c r="I23" s="2217"/>
      <c r="J23" s="2217"/>
      <c r="K23" s="2217"/>
      <c r="L23" s="2350"/>
      <c r="M23" s="2194"/>
      <c r="N23" s="2275"/>
      <c r="O23" s="2275"/>
    </row>
    <row r="24" spans="1:15">
      <c r="A24" s="2214"/>
      <c r="B24" s="2265" t="s">
        <v>1429</v>
      </c>
      <c r="C24" s="2348"/>
      <c r="D24" s="2255"/>
      <c r="E24" s="2214"/>
      <c r="F24" s="2212"/>
      <c r="G24" s="2212"/>
      <c r="H24" s="2212"/>
      <c r="I24" s="2217"/>
      <c r="J24" s="2217"/>
      <c r="K24" s="2217"/>
      <c r="L24" s="2350"/>
      <c r="M24" s="2194"/>
      <c r="N24" s="2275"/>
      <c r="O24" s="2275"/>
    </row>
    <row r="25" spans="1:15" ht="14.25">
      <c r="A25" s="2214"/>
      <c r="B25" s="2212" t="s">
        <v>1413</v>
      </c>
      <c r="C25" s="2349">
        <v>6331</v>
      </c>
      <c r="D25" s="2255" t="s">
        <v>1431</v>
      </c>
      <c r="E25" s="2266"/>
      <c r="F25" s="2212"/>
      <c r="G25" s="2212"/>
      <c r="H25" s="2212"/>
      <c r="I25" s="2343">
        <f>$C25*VLOOKUP($B25,'[3]Standard values'!$C$9:$S$159,7, FALSE)/$E$145</f>
        <v>3.6372544580483752</v>
      </c>
      <c r="J25" s="2343">
        <f>$C25*VLOOKUP($B25,'[3]Standard values'!$C$9:$S$159,8, FALSE)/$E$145</f>
        <v>0</v>
      </c>
      <c r="K25" s="2343">
        <f>$C25*VLOOKUP($B25,'[3]Standard values'!$C$9:$S$159,9, FALSE)/$E$145</f>
        <v>0</v>
      </c>
      <c r="L25" s="2342">
        <f>I25*'[3]Standard values'!$D$10+J25*'[3]Standard values'!$D$11+K25*'[3]Standard values'!$D$12</f>
        <v>3.6372544580483752</v>
      </c>
      <c r="M25" s="2194"/>
      <c r="N25" s="2285">
        <f>+L25/E$23</f>
        <v>8.0575221073917529</v>
      </c>
      <c r="O25" s="2341">
        <f>L25*$E$145/1000</f>
        <v>554.84180555555554</v>
      </c>
    </row>
    <row r="26" spans="1:15">
      <c r="A26" s="2214"/>
      <c r="B26" s="2212"/>
      <c r="C26" s="2348"/>
      <c r="D26" s="2255"/>
      <c r="E26" s="2266"/>
      <c r="F26" s="2212"/>
      <c r="G26" s="2212"/>
      <c r="H26" s="2212"/>
      <c r="I26" s="2343"/>
      <c r="J26" s="2343"/>
      <c r="K26" s="2343"/>
      <c r="L26" s="2342"/>
      <c r="M26" s="2194"/>
      <c r="N26" s="2285"/>
      <c r="O26" s="2341"/>
    </row>
    <row r="27" spans="1:15">
      <c r="A27" s="2214"/>
      <c r="B27" s="2265" t="s">
        <v>1449</v>
      </c>
      <c r="C27" s="2348"/>
      <c r="D27" s="2255"/>
      <c r="E27" s="2266"/>
      <c r="F27" s="2212"/>
      <c r="G27" s="2212"/>
      <c r="H27" s="2212"/>
      <c r="I27" s="2343"/>
      <c r="J27" s="2343"/>
      <c r="K27" s="2343"/>
      <c r="L27" s="2342"/>
      <c r="M27" s="2194"/>
      <c r="N27" s="2285"/>
      <c r="O27" s="2341"/>
    </row>
    <row r="28" spans="1:15" ht="14.25">
      <c r="A28" s="2214"/>
      <c r="B28" s="2212" t="s">
        <v>980</v>
      </c>
      <c r="C28" s="2347">
        <v>119.65135699975498</v>
      </c>
      <c r="D28" s="2255" t="s">
        <v>1432</v>
      </c>
      <c r="E28" s="2266"/>
      <c r="F28" s="2212"/>
      <c r="G28" s="2212"/>
      <c r="H28" s="2212"/>
      <c r="I28" s="2343">
        <f>$C28*VLOOKUP($B28,'[3]Standard values'!$C$9:$S$159,3, FALSE)/$E$145</f>
        <v>2.2174237674100881</v>
      </c>
      <c r="J28" s="2343">
        <f>$C28*VLOOKUP($B28,'[3]Standard values'!$C$9:$S$159,4, FALSE)/$E$145</f>
        <v>6.8074085731505713E-3</v>
      </c>
      <c r="K28" s="2343">
        <f>$C28*VLOOKUP($B28,'[3]Standard values'!$C$9:$S$159,5, FALSE)/$E$145</f>
        <v>7.5627589045263368E-3</v>
      </c>
      <c r="L28" s="2342">
        <f>I28*'[3]Standard values'!$D$10+J28*'[3]Standard values'!$D$11+K28*'[3]Standard values'!$D$12</f>
        <v>4.641311135287701</v>
      </c>
      <c r="M28" s="2194"/>
      <c r="N28" s="2285">
        <f>+L28/E$23</f>
        <v>10.281784656861854</v>
      </c>
      <c r="O28" s="2341">
        <f>L28*$E$145/1000</f>
        <v>708.00475472642438</v>
      </c>
    </row>
    <row r="29" spans="1:15" ht="14.25">
      <c r="A29" s="2214"/>
      <c r="B29" s="2212" t="s">
        <v>983</v>
      </c>
      <c r="C29" s="2347">
        <v>400</v>
      </c>
      <c r="D29" s="2255" t="s">
        <v>160</v>
      </c>
      <c r="E29" s="2266"/>
      <c r="F29" s="2212"/>
      <c r="G29" s="2212"/>
      <c r="H29" s="2212"/>
      <c r="I29" s="2343">
        <f>$C29*VLOOKUP($B29,'[3]Standard values'!$C$9:$S$159,3, FALSE)/$E$145</f>
        <v>0.31234503073615932</v>
      </c>
      <c r="J29" s="2343">
        <f>$C29*VLOOKUP($B29,'[3]Standard values'!$C$9:$S$159,4, FALSE)/$E$145</f>
        <v>5.661312681414486E-4</v>
      </c>
      <c r="K29" s="2343">
        <f>$C29*VLOOKUP($B29,'[3]Standard values'!$C$9:$S$159,5, FALSE)/$E$145</f>
        <v>4.7986114900363642E-5</v>
      </c>
      <c r="L29" s="2342">
        <f>I29*'[3]Standard values'!$D$10+J29*'[3]Standard values'!$D$11+K29*'[3]Standard values'!$D$12</f>
        <v>0.3407981746800039</v>
      </c>
      <c r="M29" s="2194"/>
      <c r="N29" s="2285">
        <f>+L29/E$23</f>
        <v>0.75496197978853807</v>
      </c>
      <c r="O29" s="2341">
        <f>L29*$E$145/1000</f>
        <v>51.986760000000004</v>
      </c>
    </row>
    <row r="30" spans="1:15" ht="15.75">
      <c r="A30" s="2214"/>
      <c r="B30" s="2212" t="s">
        <v>215</v>
      </c>
      <c r="C30" s="2347">
        <v>134.88512128680762</v>
      </c>
      <c r="D30" s="2255" t="s">
        <v>1433</v>
      </c>
      <c r="E30" s="2266"/>
      <c r="F30" s="2212"/>
      <c r="G30" s="2212"/>
      <c r="H30" s="2212"/>
      <c r="I30" s="2343">
        <f>$C30*VLOOKUP($B30,'[3]Standard values'!$C$9:$S$159,3, FALSE)/$E$145</f>
        <v>0.47422580122836322</v>
      </c>
      <c r="J30" s="2343">
        <f>$C30*VLOOKUP($B30,'[3]Standard values'!$C$9:$S$159,4, FALSE)/$E$145</f>
        <v>1.3890474930672411E-3</v>
      </c>
      <c r="K30" s="2343">
        <f>$C30*VLOOKUP($B30,'[3]Standard values'!$C$9:$S$159,5, FALSE)/$E$145</f>
        <v>1.0876111887915888E-5</v>
      </c>
      <c r="L30" s="2342">
        <f>I30*'[3]Standard values'!$D$10+J30*'[3]Standard values'!$D$11+K30*'[3]Standard values'!$D$12</f>
        <v>0.51219306989764313</v>
      </c>
      <c r="M30" s="2194"/>
      <c r="N30" s="2285">
        <f>+L30/E$23</f>
        <v>1.1346489588653959</v>
      </c>
      <c r="O30" s="2341">
        <f>L30*$E$145/1000</f>
        <v>78.132044643237748</v>
      </c>
    </row>
    <row r="31" spans="1:15" ht="15.75">
      <c r="A31" s="2214"/>
      <c r="B31" s="2212" t="s">
        <v>214</v>
      </c>
      <c r="C31" s="2347">
        <v>59.704474207636103</v>
      </c>
      <c r="D31" s="2255" t="s">
        <v>1434</v>
      </c>
      <c r="E31" s="2266"/>
      <c r="F31" s="2212"/>
      <c r="G31" s="2212"/>
      <c r="H31" s="2212"/>
      <c r="I31" s="2343">
        <f>$C31*VLOOKUP($B31,'[3]Standard values'!$C$9:$S$159,3, FALSE)/$E$145</f>
        <v>0.37764837184849209</v>
      </c>
      <c r="J31" s="2343">
        <f>$C31*VLOOKUP($B31,'[3]Standard values'!$C$9:$S$159,4, FALSE)/$E$145</f>
        <v>5.2094208275309381E-4</v>
      </c>
      <c r="K31" s="2343">
        <f>$C31*VLOOKUP($B31,'[3]Standard values'!$C$9:$S$159,5, FALSE)/$E$145</f>
        <v>2.0156662105022035E-5</v>
      </c>
      <c r="L31" s="2342">
        <f>I31*'[3]Standard values'!$D$10+J31*'[3]Standard values'!$D$11+K31*'[3]Standard values'!$D$12</f>
        <v>0.39667860922461601</v>
      </c>
      <c r="M31" s="2194"/>
      <c r="N31" s="2285">
        <f>+L31/E$23</f>
        <v>0.87875255916842088</v>
      </c>
      <c r="O31" s="2341">
        <f>L31*$E$145/1000</f>
        <v>60.510992097469952</v>
      </c>
    </row>
    <row r="32" spans="1:15" ht="14.25">
      <c r="A32" s="2214"/>
      <c r="B32" s="2212" t="s">
        <v>1410</v>
      </c>
      <c r="C32" s="2344">
        <v>1.2965</v>
      </c>
      <c r="D32" s="2255" t="s">
        <v>1430</v>
      </c>
      <c r="E32" s="2266"/>
      <c r="F32" s="2345"/>
      <c r="G32" s="2345"/>
      <c r="H32" s="2345"/>
      <c r="I32" s="2343">
        <f>$C32*VLOOKUP($B32,'[3]Standard values'!$C$9:$S$159,3, FALSE)/$E$145</f>
        <v>8.4027160565820491E-2</v>
      </c>
      <c r="J32" s="2343">
        <f>$C32*VLOOKUP($B32,'[3]Standard values'!$C$9:$S$159,4, FALSE)/$E$145</f>
        <v>2.1695941906245064E-4</v>
      </c>
      <c r="K32" s="2343">
        <f>$C32*VLOOKUP($B32,'[3]Standard values'!$C$9:$S$159,5, FALSE)/$E$145</f>
        <v>1.4290521336603235E-5</v>
      </c>
      <c r="L32" s="2342">
        <f>I32*'[3]Standard values'!$D$10+J32*'[3]Standard values'!$D$11+K32*'[3]Standard values'!$D$12</f>
        <v>9.3709721400689519E-2</v>
      </c>
      <c r="M32" s="2194"/>
      <c r="N32" s="2285">
        <f>+L32/E$23</f>
        <v>0.20759288649513985</v>
      </c>
      <c r="O32" s="2341">
        <f>L32*$E$145/1000</f>
        <v>14.29486763155</v>
      </c>
    </row>
    <row r="33" spans="1:15">
      <c r="A33" s="2214"/>
      <c r="B33" s="2212"/>
      <c r="C33" s="2346"/>
      <c r="D33" s="2255"/>
      <c r="E33" s="2266"/>
      <c r="F33" s="2345"/>
      <c r="G33" s="2345"/>
      <c r="H33" s="2345"/>
      <c r="I33" s="2343"/>
      <c r="J33" s="2343"/>
      <c r="K33" s="2343"/>
      <c r="L33" s="2342"/>
      <c r="M33" s="2194"/>
      <c r="N33" s="2285"/>
      <c r="O33" s="2341"/>
    </row>
    <row r="34" spans="1:15">
      <c r="A34" s="2214"/>
      <c r="B34" s="2265" t="s">
        <v>1415</v>
      </c>
      <c r="C34" s="2346"/>
      <c r="D34" s="2255"/>
      <c r="E34" s="2266"/>
      <c r="F34" s="2212"/>
      <c r="G34" s="2212"/>
      <c r="H34" s="2345"/>
      <c r="I34" s="2343"/>
      <c r="J34" s="2343"/>
      <c r="K34" s="2343"/>
      <c r="L34" s="2342"/>
      <c r="M34" s="2194"/>
      <c r="N34" s="2285"/>
      <c r="O34" s="2341"/>
    </row>
    <row r="35" spans="1:15" ht="14.25">
      <c r="A35" s="2214"/>
      <c r="B35" s="2278" t="s">
        <v>1471</v>
      </c>
      <c r="C35" s="2242">
        <v>6</v>
      </c>
      <c r="D35" s="2255" t="s">
        <v>1430</v>
      </c>
      <c r="E35" s="2266"/>
      <c r="F35" s="2212"/>
      <c r="G35" s="2212"/>
      <c r="H35" s="2212"/>
      <c r="I35" s="2343">
        <f>$C35*VLOOKUP($B35,'[3]Standard values'!$C$9:$S$159,3, FALSE)/$E$145</f>
        <v>8.6049098501430846E-2</v>
      </c>
      <c r="J35" s="2343">
        <f>$C35*VLOOKUP($B35,'[3]Standard values'!$C$9:$S$159,4, FALSE)/$E$145</f>
        <v>1.8094698605543676E-4</v>
      </c>
      <c r="K35" s="2343">
        <f>$C35*VLOOKUP($B35,'[3]Standard values'!$C$9:$S$159,5, FALSE)/$E$145</f>
        <v>1.6567009504945215E-4</v>
      </c>
      <c r="L35" s="2342">
        <f>I35*'[3]Standard values'!$D$10+J35*'[3]Standard values'!$D$11+K35*'[3]Standard values'!$D$12</f>
        <v>0.13994246147755351</v>
      </c>
      <c r="M35" s="2194"/>
      <c r="N35" s="2285">
        <f>+L35/E$23</f>
        <v>0.31001116092472442</v>
      </c>
      <c r="O35" s="2341">
        <f>L35*$E$145/1000</f>
        <v>21.3474006</v>
      </c>
    </row>
    <row r="36" spans="1:15">
      <c r="A36" s="2214"/>
      <c r="B36" s="2265"/>
      <c r="C36" s="2267"/>
      <c r="D36" s="2255"/>
      <c r="E36" s="2266"/>
      <c r="F36" s="2212"/>
      <c r="G36" s="2212"/>
      <c r="H36" s="2212"/>
      <c r="I36" s="2343"/>
      <c r="J36" s="2343"/>
      <c r="K36" s="2343"/>
      <c r="L36" s="2342"/>
      <c r="M36" s="2194"/>
      <c r="N36" s="2285"/>
      <c r="O36" s="2341"/>
    </row>
    <row r="37" spans="1:15" ht="15">
      <c r="A37" s="2214"/>
      <c r="B37" s="2265" t="s">
        <v>1450</v>
      </c>
      <c r="C37" s="2344">
        <v>3.2737240830223904</v>
      </c>
      <c r="D37" s="2255" t="s">
        <v>1430</v>
      </c>
      <c r="E37" s="2266"/>
      <c r="F37" s="2212"/>
      <c r="G37" s="2212"/>
      <c r="H37" s="2212"/>
      <c r="I37" s="2343">
        <v>0</v>
      </c>
      <c r="J37" s="2343">
        <v>0</v>
      </c>
      <c r="K37" s="2343">
        <f>1000*$C37/$E$145</f>
        <v>2.1460833333333335E-2</v>
      </c>
      <c r="L37" s="2342">
        <f>I37*'[3]Standard values'!$D$10+J37*'[3]Standard values'!$D$11+K37*'[3]Standard values'!$D$12</f>
        <v>6.3953283333333335</v>
      </c>
      <c r="M37" s="2194"/>
      <c r="N37" s="2285">
        <f>+L37/E$23</f>
        <v>14.167416666666666</v>
      </c>
      <c r="O37" s="2341">
        <f>L37*$E$145/1000</f>
        <v>975.5697767406723</v>
      </c>
    </row>
    <row r="38" spans="1:15">
      <c r="A38" s="2214"/>
      <c r="B38" s="2265"/>
      <c r="C38" s="2267"/>
      <c r="D38" s="2212"/>
      <c r="E38" s="2266"/>
      <c r="F38" s="2245"/>
      <c r="G38" s="2245"/>
      <c r="H38" s="2245" t="s">
        <v>151</v>
      </c>
      <c r="I38" s="2340">
        <f>SUM(I22:I37)</f>
        <v>7.1889736883387299</v>
      </c>
      <c r="J38" s="2340">
        <f>SUM(J22:J37)</f>
        <v>9.6814358222302426E-3</v>
      </c>
      <c r="K38" s="2340">
        <f>SUM(K22:K37)</f>
        <v>2.928257174313903E-2</v>
      </c>
      <c r="L38" s="2240">
        <f>I38*'[3]Standard values'!$D$10+J38*'[3]Standard values'!$D$11+K38*'[3]Standard values'!$D$12</f>
        <v>16.157215963349916</v>
      </c>
      <c r="M38" s="2194"/>
      <c r="N38" s="2274">
        <f>+L38/E$23</f>
        <v>35.79269097616249</v>
      </c>
      <c r="O38" s="2339">
        <f>L38*$E$145/1000</f>
        <v>2464.6884019949098</v>
      </c>
    </row>
    <row r="39" spans="1:15">
      <c r="A39" s="2214"/>
      <c r="B39" s="2265"/>
      <c r="C39" s="2338"/>
      <c r="D39" s="2212"/>
      <c r="E39" s="2266"/>
      <c r="F39" s="2245"/>
      <c r="G39" s="2245"/>
      <c r="H39" s="2245"/>
      <c r="I39" s="2247"/>
      <c r="J39" s="2247"/>
      <c r="K39" s="2247"/>
      <c r="L39" s="2337"/>
      <c r="M39" s="2194"/>
      <c r="N39" s="2336"/>
      <c r="O39" s="2336"/>
    </row>
    <row r="40" spans="1:15" ht="14.25">
      <c r="A40" s="2239"/>
      <c r="B40" s="2237"/>
      <c r="C40" s="2237"/>
      <c r="D40" s="2237"/>
      <c r="E40" s="2239"/>
      <c r="F40" s="2238"/>
      <c r="G40" s="2238"/>
      <c r="H40" s="2238" t="s">
        <v>241</v>
      </c>
      <c r="I40" s="2335"/>
      <c r="J40" s="2236" t="s">
        <v>1451</v>
      </c>
      <c r="K40" s="2334"/>
      <c r="L40" s="2234">
        <f>L38</f>
        <v>16.157215963349916</v>
      </c>
      <c r="M40" s="2194"/>
      <c r="N40" s="2193"/>
      <c r="O40" s="2193"/>
    </row>
    <row r="41" spans="1:15">
      <c r="A41" s="2194"/>
      <c r="B41" s="2194"/>
      <c r="C41" s="2194"/>
      <c r="D41" s="2194"/>
      <c r="E41" s="2194"/>
      <c r="F41" s="2333"/>
      <c r="G41" s="2333"/>
      <c r="H41" s="2333"/>
      <c r="I41" s="2332"/>
      <c r="J41" s="2331"/>
      <c r="K41" s="2330"/>
      <c r="L41" s="2329"/>
      <c r="M41" s="2194"/>
      <c r="N41" s="2193"/>
      <c r="O41" s="2193"/>
    </row>
    <row r="42" spans="1:15">
      <c r="A42" s="2193"/>
      <c r="B42" s="2193"/>
      <c r="C42" s="2193"/>
      <c r="D42" s="2193"/>
      <c r="E42" s="2193"/>
      <c r="F42" s="2193"/>
      <c r="G42" s="2193"/>
      <c r="H42" s="2193"/>
      <c r="I42" s="2328"/>
      <c r="J42" s="2328"/>
      <c r="K42" s="2328"/>
      <c r="L42" s="2328"/>
      <c r="M42" s="2194"/>
      <c r="N42" s="2193"/>
      <c r="O42" s="2193"/>
    </row>
    <row r="43" spans="1:15" ht="15.75">
      <c r="A43" s="2229" t="s">
        <v>159</v>
      </c>
      <c r="B43" s="2228"/>
      <c r="C43" s="2228"/>
      <c r="D43" s="2228"/>
      <c r="E43" s="2229" t="s">
        <v>239</v>
      </c>
      <c r="F43" s="2227"/>
      <c r="G43" s="2227"/>
      <c r="H43" s="2228"/>
      <c r="I43" s="2227" t="s">
        <v>261</v>
      </c>
      <c r="J43" s="2291"/>
      <c r="K43" s="2291"/>
      <c r="L43" s="2290"/>
      <c r="M43" s="2194"/>
      <c r="N43" s="2282" t="s">
        <v>258</v>
      </c>
      <c r="O43" s="2193"/>
    </row>
    <row r="44" spans="1:15" ht="15.75">
      <c r="A44" s="2214"/>
      <c r="B44" s="2265" t="s">
        <v>1346</v>
      </c>
      <c r="C44" s="2281">
        <v>1</v>
      </c>
      <c r="D44" s="2212" t="s">
        <v>158</v>
      </c>
      <c r="E44" s="2326">
        <f>E21*C44</f>
        <v>280604.92140191916</v>
      </c>
      <c r="F44" s="2325" t="s">
        <v>157</v>
      </c>
      <c r="G44" s="2325"/>
      <c r="H44" s="2212"/>
      <c r="I44" s="2246" t="s">
        <v>243</v>
      </c>
      <c r="J44" s="2245"/>
      <c r="K44" s="2245"/>
      <c r="L44" s="2244"/>
      <c r="M44" s="2194"/>
      <c r="N44" s="2280" t="s">
        <v>156</v>
      </c>
      <c r="O44" s="2193"/>
    </row>
    <row r="45" spans="1:15" ht="15.75">
      <c r="A45" s="2214"/>
      <c r="B45" s="2212"/>
      <c r="C45" s="2212"/>
      <c r="D45" s="2212"/>
      <c r="E45" s="2279">
        <f>E22*C44</f>
        <v>1</v>
      </c>
      <c r="F45" s="2278" t="s">
        <v>255</v>
      </c>
      <c r="G45" s="2278"/>
      <c r="H45" s="2212"/>
      <c r="I45" s="2243" t="s">
        <v>1453</v>
      </c>
      <c r="J45" s="2243" t="s">
        <v>1454</v>
      </c>
      <c r="K45" s="2243" t="s">
        <v>245</v>
      </c>
      <c r="L45" s="2258" t="s">
        <v>1456</v>
      </c>
      <c r="M45" s="2194"/>
      <c r="N45" s="2277" t="s">
        <v>1456</v>
      </c>
      <c r="O45" s="2193"/>
    </row>
    <row r="46" spans="1:15">
      <c r="A46" s="2214"/>
      <c r="B46" s="2265" t="s">
        <v>1407</v>
      </c>
      <c r="C46" s="2212"/>
      <c r="D46" s="2212"/>
      <c r="E46" s="2279"/>
      <c r="F46" s="2278"/>
      <c r="G46" s="2278"/>
      <c r="H46" s="2212"/>
      <c r="I46" s="2243"/>
      <c r="J46" s="2243"/>
      <c r="K46" s="2243"/>
      <c r="L46" s="2258"/>
      <c r="M46" s="2194"/>
      <c r="N46" s="2275"/>
      <c r="O46" s="2193"/>
    </row>
    <row r="47" spans="1:15" ht="15.75">
      <c r="A47" s="2214"/>
      <c r="B47" s="2212" t="s">
        <v>1360</v>
      </c>
      <c r="C47" s="2242">
        <v>30</v>
      </c>
      <c r="D47" s="2212" t="s">
        <v>1414</v>
      </c>
      <c r="E47" s="2287">
        <f>(C47*E45)/(VLOOKUP($B44,'[3]Standard values'!$C$9:$S$159,14, FALSE))/(1-$C$22)/1000</f>
        <v>7.3619631901840482E-3</v>
      </c>
      <c r="F47" s="2212" t="s">
        <v>260</v>
      </c>
      <c r="G47" s="2212"/>
      <c r="H47" s="2212"/>
      <c r="I47" s="2215">
        <f>$E47*VLOOKUP($B47,'[3]Standard values'!$C$9:$S$159,15, FALSE)*VLOOKUP(C48,'[3]Standard values'!$C$9:$S$159,7, FALSE)/$E$146</f>
        <v>1.1108774355828221</v>
      </c>
      <c r="J47" s="2215">
        <f>$E47*((VLOOKUP($B47,'[3]Standard values'!$C$9:$S$159,15, FALSE)*VLOOKUP(C48,'[3]Standard values'!$C$9:$S$159,8, FALSE))+VLOOKUP($B47,'[3]Standard values'!$C$9:$S$159,16, FALSE))/$E$146</f>
        <v>6.7711656441717786E-5</v>
      </c>
      <c r="K47" s="2215">
        <f>$E47*((VLOOKUP($B47,'[3]Standard values'!$C$9:$S$159,15, FALSE)*VLOOKUP(C48,'[3]Standard values'!$C$9:$S$159,9, FALSE))+VLOOKUP($B47,'[3]Standard values'!$C$9:$S$159,17, FALSE))/$E$146</f>
        <v>0</v>
      </c>
      <c r="L47" s="2240">
        <f>I47*'[3]Standard values'!$D$10+J47*'[3]Standard values'!$D$11+K47*'[3]Standard values'!$D$12</f>
        <v>1.1125702269938651</v>
      </c>
      <c r="M47" s="2194"/>
      <c r="N47" s="2274">
        <f>+L47/E23</f>
        <v>2.4646500000000002</v>
      </c>
      <c r="O47" s="2193"/>
    </row>
    <row r="48" spans="1:15">
      <c r="A48" s="2214"/>
      <c r="B48" s="2217" t="s">
        <v>1374</v>
      </c>
      <c r="C48" s="2288" t="s">
        <v>1413</v>
      </c>
      <c r="D48" s="2212"/>
      <c r="E48" s="2287"/>
      <c r="F48" s="2212"/>
      <c r="G48" s="2212"/>
      <c r="H48" s="2212"/>
      <c r="I48" s="2215"/>
      <c r="J48" s="2215"/>
      <c r="K48" s="2215"/>
      <c r="L48" s="2240"/>
      <c r="M48" s="2194"/>
      <c r="N48" s="2193"/>
      <c r="O48" s="2193"/>
    </row>
    <row r="49" spans="1:15">
      <c r="A49" s="2214"/>
      <c r="B49" s="2212"/>
      <c r="C49" s="2212"/>
      <c r="D49" s="2212"/>
      <c r="E49" s="2214"/>
      <c r="F49" s="2212"/>
      <c r="G49" s="2212"/>
      <c r="H49" s="2327"/>
      <c r="I49" s="2215"/>
      <c r="J49" s="2215"/>
      <c r="K49" s="2215"/>
      <c r="L49" s="2240"/>
      <c r="M49" s="2194"/>
      <c r="N49" s="2193"/>
      <c r="O49" s="2193"/>
    </row>
    <row r="50" spans="1:15" ht="14.25">
      <c r="A50" s="2239"/>
      <c r="B50" s="2237"/>
      <c r="C50" s="2237"/>
      <c r="D50" s="2237"/>
      <c r="E50" s="2239"/>
      <c r="F50" s="2238"/>
      <c r="G50" s="2238"/>
      <c r="H50" s="2238" t="s">
        <v>241</v>
      </c>
      <c r="I50" s="2237"/>
      <c r="J50" s="2236" t="s">
        <v>1451</v>
      </c>
      <c r="K50" s="2235"/>
      <c r="L50" s="2234">
        <f>L47</f>
        <v>1.1125702269938651</v>
      </c>
      <c r="M50" s="2194"/>
      <c r="N50" s="2193"/>
      <c r="O50" s="2193"/>
    </row>
    <row r="51" spans="1:15">
      <c r="A51" s="2193"/>
      <c r="B51" s="2193"/>
      <c r="C51" s="2193"/>
      <c r="D51" s="2193"/>
      <c r="E51" s="2193"/>
      <c r="F51" s="2233"/>
      <c r="G51" s="2233"/>
      <c r="H51" s="2233"/>
      <c r="I51" s="2193"/>
      <c r="J51" s="2232"/>
      <c r="K51" s="2231"/>
      <c r="L51" s="2284"/>
      <c r="M51" s="2194"/>
      <c r="N51" s="2194"/>
      <c r="O51" s="2194"/>
    </row>
    <row r="52" spans="1:15">
      <c r="A52" s="2193"/>
      <c r="B52" s="2193"/>
      <c r="C52" s="2193"/>
      <c r="D52" s="2193"/>
      <c r="E52" s="2193"/>
      <c r="F52" s="2193"/>
      <c r="G52" s="2193"/>
      <c r="H52" s="2193"/>
      <c r="I52" s="2193"/>
      <c r="J52" s="2193"/>
      <c r="K52" s="2193"/>
      <c r="L52" s="2295"/>
      <c r="M52" s="2194"/>
      <c r="N52" s="2194"/>
      <c r="O52" s="2194"/>
    </row>
    <row r="53" spans="1:15" ht="15.75">
      <c r="A53" s="2229" t="s">
        <v>1436</v>
      </c>
      <c r="B53" s="2228"/>
      <c r="C53" s="2228"/>
      <c r="D53" s="2228"/>
      <c r="E53" s="2229" t="s">
        <v>239</v>
      </c>
      <c r="F53" s="2227"/>
      <c r="G53" s="2227"/>
      <c r="H53" s="2228"/>
      <c r="I53" s="2227" t="s">
        <v>261</v>
      </c>
      <c r="J53" s="2291"/>
      <c r="K53" s="2291"/>
      <c r="L53" s="2290"/>
      <c r="M53" s="2194"/>
      <c r="N53" s="2282" t="s">
        <v>258</v>
      </c>
      <c r="O53" s="2194"/>
    </row>
    <row r="54" spans="1:15">
      <c r="A54" s="2214"/>
      <c r="B54" s="2265" t="s">
        <v>1428</v>
      </c>
      <c r="C54" s="2212"/>
      <c r="D54" s="2212"/>
      <c r="E54" s="2326"/>
      <c r="F54" s="2212"/>
      <c r="G54" s="2212"/>
      <c r="H54" s="2212"/>
      <c r="I54" s="2246" t="s">
        <v>243</v>
      </c>
      <c r="J54" s="2245"/>
      <c r="K54" s="2245"/>
      <c r="L54" s="2244"/>
      <c r="M54" s="2194"/>
      <c r="N54" s="2280" t="s">
        <v>256</v>
      </c>
      <c r="O54" s="2194"/>
    </row>
    <row r="55" spans="1:15" ht="15.75">
      <c r="A55" s="2214"/>
      <c r="B55" s="2212" t="s">
        <v>1408</v>
      </c>
      <c r="C55" s="2281">
        <v>0.54362598532209838</v>
      </c>
      <c r="D55" s="2212" t="s">
        <v>155</v>
      </c>
      <c r="E55" s="2326">
        <f>E44*C55</f>
        <v>152544.12688334828</v>
      </c>
      <c r="F55" s="2212" t="s">
        <v>1437</v>
      </c>
      <c r="G55" s="2212"/>
      <c r="H55" s="2212"/>
      <c r="I55" s="2243" t="s">
        <v>1453</v>
      </c>
      <c r="J55" s="2243" t="s">
        <v>1454</v>
      </c>
      <c r="K55" s="2243" t="s">
        <v>245</v>
      </c>
      <c r="L55" s="2258" t="s">
        <v>1456</v>
      </c>
      <c r="M55" s="2194"/>
      <c r="N55" s="2277" t="s">
        <v>1456</v>
      </c>
      <c r="O55" s="2194"/>
    </row>
    <row r="56" spans="1:15" ht="15.75">
      <c r="A56" s="2324"/>
      <c r="B56" s="2278" t="s">
        <v>1196</v>
      </c>
      <c r="C56" s="2281">
        <v>0.21882280194592182</v>
      </c>
      <c r="D56" s="2325" t="s">
        <v>154</v>
      </c>
      <c r="E56" s="2279">
        <f>E45*C55</f>
        <v>0.54362598532209838</v>
      </c>
      <c r="F56" s="2278" t="s">
        <v>255</v>
      </c>
      <c r="G56" s="2278"/>
      <c r="H56" s="2212"/>
      <c r="I56" s="2212"/>
      <c r="J56" s="2212"/>
      <c r="K56" s="2212"/>
      <c r="L56" s="2275"/>
      <c r="M56" s="2194"/>
      <c r="N56" s="2275"/>
      <c r="O56" s="2194"/>
    </row>
    <row r="57" spans="1:15" ht="15.75">
      <c r="A57" s="2324"/>
      <c r="B57" s="2278"/>
      <c r="C57" s="2323"/>
      <c r="D57" s="2278"/>
      <c r="E57" s="2322">
        <f>E55/$E$145/VLOOKUP($B55,'[3]Standard values'!$C$9:$S$159,14, FALSE)</f>
        <v>3.7299515106303617E-2</v>
      </c>
      <c r="F57" s="2212" t="s">
        <v>153</v>
      </c>
      <c r="G57" s="2212"/>
      <c r="H57" s="2212"/>
      <c r="I57" s="2212"/>
      <c r="J57" s="2212"/>
      <c r="K57" s="2212"/>
      <c r="L57" s="2275"/>
      <c r="M57" s="2194"/>
      <c r="N57" s="2285"/>
      <c r="O57" s="2194"/>
    </row>
    <row r="58" spans="1:15">
      <c r="A58" s="2214"/>
      <c r="B58" s="2265" t="s">
        <v>1429</v>
      </c>
      <c r="C58" s="2212"/>
      <c r="D58" s="2212"/>
      <c r="E58" s="2321"/>
      <c r="F58" s="2212"/>
      <c r="G58" s="2212"/>
      <c r="H58" s="2212"/>
      <c r="I58" s="2212"/>
      <c r="J58" s="2212"/>
      <c r="K58" s="2212"/>
      <c r="L58" s="2275"/>
      <c r="M58" s="2194"/>
      <c r="N58" s="2285"/>
      <c r="O58" s="2194"/>
    </row>
    <row r="59" spans="1:15" ht="15.75">
      <c r="A59" s="2214"/>
      <c r="B59" s="2212" t="s">
        <v>1372</v>
      </c>
      <c r="C59" s="2281">
        <f>1.4*0.0345</f>
        <v>4.8300000000000003E-2</v>
      </c>
      <c r="D59" s="2212" t="s">
        <v>254</v>
      </c>
      <c r="E59" s="2321"/>
      <c r="F59" s="2212"/>
      <c r="G59" s="2212"/>
      <c r="H59" s="2212"/>
      <c r="I59" s="2215">
        <f>$C59*$E$56*VLOOKUP($B59,'[3]Standard values'!$C$9:$S$159,7, FALSE)/$E$146</f>
        <v>5.7651926500000004</v>
      </c>
      <c r="J59" s="2215">
        <f>$C59*$E$56*VLOOKUP($B59,'[3]Standard values'!$C$9:$S$159,8, FALSE)/$E$146</f>
        <v>1.4059325000000003E-2</v>
      </c>
      <c r="K59" s="2215">
        <f>$C59*$E$56*VLOOKUP($B59,'[3]Standard values'!$C$9:$S$159,9, FALSE)/$E$146</f>
        <v>2.6028333333333336E-4</v>
      </c>
      <c r="L59" s="2254">
        <f>I59*'[3]Standard values'!$D$10+J59*'[3]Standard values'!$D$11+K59*'[3]Standard values'!$D$12</f>
        <v>6.1942402083333334</v>
      </c>
      <c r="M59" s="2194"/>
      <c r="N59" s="2285">
        <f>+L59/$E$57</f>
        <v>166.06757998541667</v>
      </c>
      <c r="O59" s="2194"/>
    </row>
    <row r="60" spans="1:15" ht="15.75">
      <c r="A60" s="2214"/>
      <c r="B60" s="2212" t="s">
        <v>842</v>
      </c>
      <c r="C60" s="2281">
        <f>1.4*0.2806</f>
        <v>0.39284000000000002</v>
      </c>
      <c r="D60" s="2212" t="s">
        <v>254</v>
      </c>
      <c r="E60" s="2214"/>
      <c r="F60" s="2212"/>
      <c r="G60" s="2212"/>
      <c r="H60" s="2212"/>
      <c r="I60" s="2215"/>
      <c r="J60" s="2320"/>
      <c r="K60" s="2320"/>
      <c r="L60" s="2254"/>
      <c r="M60" s="2194"/>
      <c r="N60" s="2285"/>
      <c r="O60" s="2194"/>
    </row>
    <row r="61" spans="1:15">
      <c r="A61" s="2214"/>
      <c r="B61" s="2319" t="s">
        <v>936</v>
      </c>
      <c r="C61" s="2315"/>
      <c r="D61" s="2315"/>
      <c r="E61" s="2302"/>
      <c r="F61" s="2300"/>
      <c r="G61" s="2300"/>
      <c r="H61" s="2300"/>
      <c r="I61" s="2318" t="s">
        <v>845</v>
      </c>
      <c r="J61" s="2300"/>
      <c r="K61" s="2300"/>
      <c r="L61" s="2317"/>
      <c r="M61" s="2194"/>
      <c r="N61" s="2285"/>
      <c r="O61" s="2194"/>
    </row>
    <row r="62" spans="1:15" ht="15.75">
      <c r="A62" s="2214"/>
      <c r="B62" s="2316" t="s">
        <v>152</v>
      </c>
      <c r="C62" s="2312"/>
      <c r="D62" s="2315"/>
      <c r="E62" s="2302"/>
      <c r="F62" s="2300"/>
      <c r="G62" s="2300"/>
      <c r="H62" s="2300"/>
      <c r="I62" s="2303">
        <f>$C60*$E$56*VLOOKUP($B62,'[3]Standard values'!$C$9:$S$156,7, FALSE)/$E$146</f>
        <v>0</v>
      </c>
      <c r="J62" s="2303">
        <f>$C60*$E$56*VLOOKUP($B62,'[3]Standard values'!$C$9:$S$156,8, FALSE)/$E$146</f>
        <v>1.0912222222222224E-3</v>
      </c>
      <c r="K62" s="2303">
        <f>$C60*$E$56*VLOOKUP($B62,'[3]Standard values'!$C$9:$S$156,9, FALSE)/$E$146</f>
        <v>4.3648888888888894E-4</v>
      </c>
      <c r="L62" s="2311">
        <f>I62*'[3]Standard values'!$D$10+J62*'[3]Standard values'!$D$11+K62*'[3]Standard values'!$D$12</f>
        <v>0.15735424444444446</v>
      </c>
      <c r="M62" s="2194"/>
      <c r="N62" s="2285">
        <f>+L62/$E$57</f>
        <v>4.2186672935555558</v>
      </c>
      <c r="O62" s="2194"/>
    </row>
    <row r="63" spans="1:15" ht="14.25">
      <c r="A63" s="2214"/>
      <c r="B63" s="2313" t="s">
        <v>843</v>
      </c>
      <c r="C63" s="2281">
        <f>1/0.9</f>
        <v>1.1111111111111112</v>
      </c>
      <c r="D63" s="2300" t="s">
        <v>885</v>
      </c>
      <c r="E63" s="2302"/>
      <c r="F63" s="2300"/>
      <c r="G63" s="2300"/>
      <c r="H63" s="2300"/>
      <c r="I63" s="2303"/>
      <c r="J63" s="2314"/>
      <c r="K63" s="2314"/>
      <c r="L63" s="2311"/>
      <c r="M63" s="2194"/>
      <c r="N63" s="2285"/>
      <c r="O63" s="2194"/>
    </row>
    <row r="64" spans="1:15" ht="15.75">
      <c r="A64" s="2214"/>
      <c r="B64" s="2313" t="s">
        <v>1183</v>
      </c>
      <c r="C64" s="2312">
        <f>C63*C60</f>
        <v>0.43648888888888893</v>
      </c>
      <c r="D64" s="2300" t="s">
        <v>254</v>
      </c>
      <c r="E64" s="2302"/>
      <c r="F64" s="2300"/>
      <c r="G64" s="2300"/>
      <c r="H64" s="2300"/>
      <c r="I64" s="2303">
        <f>$C64*$E$56*VLOOKUP($B64,'[3]Standard values'!$C$9:$S$159,7, FALSE)/$E$146</f>
        <v>27.483086400000001</v>
      </c>
      <c r="J64" s="2303">
        <f>$C64*$E$56*VLOOKUP($B64,'[3]Standard values'!$C$9:$S$159,8, FALSE)/$E$146</f>
        <v>8.6485423456790125E-2</v>
      </c>
      <c r="K64" s="2303">
        <f>$C64*$E$56*VLOOKUP($B64,'[3]Standard values'!$C$9:$S$159,9, FALSE)/$E$146</f>
        <v>9.6997530864197551E-5</v>
      </c>
      <c r="L64" s="2311">
        <f>I64*'[3]Standard values'!$D$10+J64*'[3]Standard values'!$D$11+K64*'[3]Standard values'!$D$12</f>
        <v>29.674127250617286</v>
      </c>
      <c r="M64" s="2194"/>
      <c r="N64" s="2285">
        <f>+L64/$E$57</f>
        <v>795.56335158904949</v>
      </c>
      <c r="O64" s="2194"/>
    </row>
    <row r="65" spans="1:15" ht="14.25">
      <c r="A65" s="2214"/>
      <c r="B65" s="2313" t="s">
        <v>844</v>
      </c>
      <c r="C65" s="2281">
        <v>0.02</v>
      </c>
      <c r="D65" s="2300" t="s">
        <v>885</v>
      </c>
      <c r="E65" s="2302"/>
      <c r="F65" s="2300"/>
      <c r="G65" s="2300"/>
      <c r="H65" s="2300"/>
      <c r="I65" s="2303"/>
      <c r="J65" s="2314"/>
      <c r="K65" s="2314"/>
      <c r="L65" s="2311"/>
      <c r="M65" s="2194"/>
      <c r="N65" s="2285"/>
      <c r="O65" s="2194"/>
    </row>
    <row r="66" spans="1:15" ht="15.75">
      <c r="A66" s="2214"/>
      <c r="B66" s="2313" t="s">
        <v>1372</v>
      </c>
      <c r="C66" s="2312">
        <f>C65*C60</f>
        <v>7.8568000000000006E-3</v>
      </c>
      <c r="D66" s="2300" t="s">
        <v>254</v>
      </c>
      <c r="E66" s="2302"/>
      <c r="F66" s="2300"/>
      <c r="G66" s="2300"/>
      <c r="H66" s="2300"/>
      <c r="I66" s="2303">
        <f>$C66*$E$56*VLOOKUP($B66,'[3]Standard values'!$C$9:$S$159,7, FALSE)/$E$146</f>
        <v>0.93780467106666676</v>
      </c>
      <c r="J66" s="2303">
        <f>$C66*$E$56*VLOOKUP($B66,'[3]Standard values'!$C$9:$S$159,8, FALSE)/$E$146</f>
        <v>2.2869835333333339E-3</v>
      </c>
      <c r="K66" s="2303">
        <f>$C66*$E$56*VLOOKUP($B66,'[3]Standard values'!$C$9:$S$159,9, FALSE)/$E$146</f>
        <v>4.2339422222222235E-5</v>
      </c>
      <c r="L66" s="2311">
        <f>I66*'[3]Standard values'!$D$10+J66*'[3]Standard values'!$D$11+K66*'[3]Standard values'!$D$12</f>
        <v>1.0075964072222223</v>
      </c>
      <c r="M66" s="2194"/>
      <c r="N66" s="2285">
        <f>+L66/$E$57</f>
        <v>27.013659677627782</v>
      </c>
      <c r="O66" s="2194"/>
    </row>
    <row r="67" spans="1:15">
      <c r="A67" s="2214"/>
      <c r="B67" s="2310"/>
      <c r="C67" s="2309"/>
      <c r="D67" s="2212"/>
      <c r="E67" s="2214"/>
      <c r="F67" s="2212"/>
      <c r="G67" s="2212"/>
      <c r="H67" s="2245" t="s">
        <v>151</v>
      </c>
      <c r="I67" s="2308">
        <f>SUM(I56:I66)</f>
        <v>34.186083721066666</v>
      </c>
      <c r="J67" s="2308">
        <f>SUM(J56:J66)</f>
        <v>0.10392295421234568</v>
      </c>
      <c r="K67" s="2308">
        <f>SUM(K56:K66)</f>
        <v>8.3610917530864209E-4</v>
      </c>
      <c r="L67" s="2240">
        <f>I67*'[3]Standard values'!$D$10+J67*'[3]Standard values'!$D$11+K67*'[3]Standard values'!$D$12</f>
        <v>37.03331811061728</v>
      </c>
      <c r="M67" s="2194"/>
      <c r="N67" s="2274">
        <f>+L67/$E$57</f>
        <v>992.86325854564927</v>
      </c>
      <c r="O67" s="2194"/>
    </row>
    <row r="68" spans="1:15">
      <c r="A68" s="2214"/>
      <c r="B68" s="2307"/>
      <c r="C68" s="2278"/>
      <c r="D68" s="2278"/>
      <c r="E68" s="2214"/>
      <c r="F68" s="2212"/>
      <c r="G68" s="2212"/>
      <c r="H68" s="2212"/>
      <c r="I68" s="2212"/>
      <c r="J68" s="2212"/>
      <c r="K68" s="2212"/>
      <c r="L68" s="2275"/>
      <c r="M68" s="2194"/>
      <c r="N68" s="2306"/>
      <c r="O68" s="2194"/>
    </row>
    <row r="69" spans="1:15" ht="14.25">
      <c r="A69" s="2239"/>
      <c r="B69" s="2237"/>
      <c r="C69" s="2237"/>
      <c r="D69" s="2237"/>
      <c r="E69" s="2239"/>
      <c r="F69" s="2238"/>
      <c r="G69" s="2238"/>
      <c r="H69" s="2238" t="s">
        <v>241</v>
      </c>
      <c r="I69" s="2237"/>
      <c r="J69" s="2236" t="s">
        <v>1451</v>
      </c>
      <c r="K69" s="2235"/>
      <c r="L69" s="2234">
        <f>L67</f>
        <v>37.03331811061728</v>
      </c>
      <c r="M69" s="2194"/>
      <c r="N69" s="2273"/>
      <c r="O69" s="2194"/>
    </row>
    <row r="70" spans="1:15">
      <c r="A70" s="2193"/>
      <c r="B70" s="2193"/>
      <c r="C70" s="2193"/>
      <c r="D70" s="2193"/>
      <c r="E70" s="2193"/>
      <c r="F70" s="2233"/>
      <c r="G70" s="2233"/>
      <c r="H70" s="2233"/>
      <c r="I70" s="2193"/>
      <c r="J70" s="2232"/>
      <c r="K70" s="2231"/>
      <c r="L70" s="2294"/>
      <c r="M70" s="2194"/>
      <c r="N70" s="2193"/>
      <c r="O70" s="2193"/>
    </row>
    <row r="71" spans="1:15">
      <c r="A71" s="2193"/>
      <c r="B71" s="2193"/>
      <c r="C71" s="2193"/>
      <c r="D71" s="2193"/>
      <c r="E71" s="2193"/>
      <c r="F71" s="2233"/>
      <c r="G71" s="2233"/>
      <c r="H71" s="2233"/>
      <c r="I71" s="2193"/>
      <c r="J71" s="2232"/>
      <c r="K71" s="2231"/>
      <c r="L71" s="2294"/>
      <c r="M71" s="2194"/>
      <c r="N71" s="2193"/>
      <c r="O71" s="2193"/>
    </row>
    <row r="72" spans="1:15" ht="15.75">
      <c r="A72" s="2229" t="s">
        <v>150</v>
      </c>
      <c r="B72" s="2228"/>
      <c r="C72" s="2228"/>
      <c r="D72" s="2228"/>
      <c r="E72" s="2225" t="s">
        <v>149</v>
      </c>
      <c r="F72" s="2226"/>
      <c r="G72" s="2226"/>
      <c r="H72" s="2226"/>
      <c r="I72" s="2224"/>
      <c r="J72" s="2225" t="s">
        <v>1451</v>
      </c>
      <c r="K72" s="2224"/>
      <c r="L72" s="2223">
        <f>L40+L50+L69</f>
        <v>54.30310430096106</v>
      </c>
      <c r="M72" s="2194"/>
      <c r="N72" s="2193"/>
      <c r="O72" s="2193"/>
    </row>
    <row r="73" spans="1:15" ht="15.75">
      <c r="A73" s="2222" t="s">
        <v>148</v>
      </c>
      <c r="B73" s="2221"/>
      <c r="C73" s="2221"/>
      <c r="D73" s="2221"/>
      <c r="E73" s="2220"/>
      <c r="F73" s="2220"/>
      <c r="G73" s="2220"/>
      <c r="H73" s="2220"/>
      <c r="I73" s="2220"/>
      <c r="J73" s="2220"/>
      <c r="K73" s="2220"/>
      <c r="L73" s="2219"/>
      <c r="M73" s="2194"/>
      <c r="N73" s="2282" t="s">
        <v>258</v>
      </c>
      <c r="O73" s="2193"/>
    </row>
    <row r="74" spans="1:15" ht="15.75">
      <c r="A74" s="2302"/>
      <c r="B74" s="2300"/>
      <c r="C74" s="2300"/>
      <c r="D74" s="2304"/>
      <c r="E74" s="2304"/>
      <c r="F74" s="2304"/>
      <c r="G74" s="2304"/>
      <c r="H74" s="2304" t="s">
        <v>147</v>
      </c>
      <c r="I74" s="2305">
        <f>L72</f>
        <v>54.30310430096106</v>
      </c>
      <c r="J74" s="2300" t="s">
        <v>267</v>
      </c>
      <c r="K74" s="2300"/>
      <c r="L74" s="2299"/>
      <c r="M74" s="2194"/>
      <c r="N74" s="2280" t="s">
        <v>256</v>
      </c>
      <c r="O74" s="2193"/>
    </row>
    <row r="75" spans="1:15" ht="15.75">
      <c r="A75" s="2302"/>
      <c r="B75" s="2300" t="s">
        <v>146</v>
      </c>
      <c r="C75" s="2300" t="s">
        <v>1408</v>
      </c>
      <c r="D75" s="2300"/>
      <c r="E75" s="2304" t="s">
        <v>145</v>
      </c>
      <c r="F75" s="2301">
        <f>C55</f>
        <v>0.54362598532209838</v>
      </c>
      <c r="G75" s="2301"/>
      <c r="H75" s="2300" t="s">
        <v>265</v>
      </c>
      <c r="I75" s="2303">
        <f>$I$74*F75/F$77</f>
        <v>38.718113366585236</v>
      </c>
      <c r="J75" s="2300" t="s">
        <v>267</v>
      </c>
      <c r="K75" s="2300"/>
      <c r="L75" s="2299"/>
      <c r="M75" s="2194"/>
      <c r="N75" s="2277" t="s">
        <v>1456</v>
      </c>
      <c r="O75" s="2193"/>
    </row>
    <row r="76" spans="1:15" ht="15.75">
      <c r="A76" s="2302"/>
      <c r="B76" s="2300" t="s">
        <v>144</v>
      </c>
      <c r="C76" s="2300" t="s">
        <v>1351</v>
      </c>
      <c r="D76" s="2300"/>
      <c r="E76" s="2304" t="s">
        <v>143</v>
      </c>
      <c r="F76" s="2301">
        <f>C56</f>
        <v>0.21882280194592182</v>
      </c>
      <c r="G76" s="2301"/>
      <c r="H76" s="2300" t="s">
        <v>265</v>
      </c>
      <c r="I76" s="2303">
        <f>$I$74*F76/F$77</f>
        <v>15.584990934375826</v>
      </c>
      <c r="J76" s="2300" t="s">
        <v>267</v>
      </c>
      <c r="K76" s="2300"/>
      <c r="L76" s="2299"/>
      <c r="M76" s="2194"/>
      <c r="N76" s="2275"/>
      <c r="O76" s="2193"/>
    </row>
    <row r="77" spans="1:15">
      <c r="A77" s="2302"/>
      <c r="B77" s="2300"/>
      <c r="C77" s="2300"/>
      <c r="D77" s="2300"/>
      <c r="E77" s="2300" t="s">
        <v>266</v>
      </c>
      <c r="F77" s="2301">
        <f>SUM(F75:F76)</f>
        <v>0.76244878726802023</v>
      </c>
      <c r="G77" s="2301"/>
      <c r="H77" s="2300" t="s">
        <v>265</v>
      </c>
      <c r="I77" s="2300"/>
      <c r="J77" s="2300"/>
      <c r="K77" s="2300"/>
      <c r="L77" s="2299"/>
      <c r="M77" s="2194"/>
      <c r="N77" s="2285"/>
      <c r="O77" s="2193"/>
    </row>
    <row r="78" spans="1:15" ht="14.25">
      <c r="A78" s="2239"/>
      <c r="B78" s="2237"/>
      <c r="C78" s="2237"/>
      <c r="D78" s="2237"/>
      <c r="E78" s="2236" t="s">
        <v>264</v>
      </c>
      <c r="F78" s="2238"/>
      <c r="G78" s="2238"/>
      <c r="H78" s="2196"/>
      <c r="I78" s="2237"/>
      <c r="J78" s="2236" t="s">
        <v>1451</v>
      </c>
      <c r="K78" s="2196"/>
      <c r="L78" s="2234">
        <f>I75</f>
        <v>38.718113366585236</v>
      </c>
      <c r="M78" s="2194"/>
      <c r="N78" s="2274">
        <f>+L78/E$57</f>
        <v>1038.0326193581502</v>
      </c>
      <c r="O78" s="2194"/>
    </row>
    <row r="79" spans="1:15">
      <c r="A79" s="2193"/>
      <c r="B79" s="2193"/>
      <c r="C79" s="2193"/>
      <c r="D79" s="2194"/>
      <c r="E79" s="2194"/>
      <c r="F79" s="2231"/>
      <c r="G79" s="2231"/>
      <c r="H79" s="2298"/>
      <c r="I79" s="2297"/>
      <c r="J79" s="2194"/>
      <c r="K79" s="2194"/>
      <c r="L79" s="2296"/>
      <c r="M79" s="2194"/>
      <c r="N79" s="2194"/>
      <c r="O79" s="2194"/>
    </row>
    <row r="80" spans="1:15">
      <c r="A80" s="2295"/>
      <c r="B80" s="2294"/>
      <c r="C80" s="2293"/>
      <c r="D80" s="2193"/>
      <c r="E80" s="2194"/>
      <c r="F80" s="2194"/>
      <c r="G80" s="2194"/>
      <c r="H80" s="2194"/>
      <c r="I80" s="2194"/>
      <c r="J80" s="2292"/>
      <c r="K80" s="2194"/>
      <c r="L80" s="2194"/>
      <c r="M80" s="2194"/>
      <c r="N80" s="2194"/>
      <c r="O80" s="2194"/>
    </row>
    <row r="81" spans="1:15" ht="15.75">
      <c r="A81" s="2229" t="s">
        <v>263</v>
      </c>
      <c r="B81" s="2227" t="s">
        <v>262</v>
      </c>
      <c r="C81" s="2228"/>
      <c r="D81" s="2228"/>
      <c r="E81" s="2229" t="s">
        <v>239</v>
      </c>
      <c r="F81" s="2227"/>
      <c r="G81" s="2227"/>
      <c r="H81" s="2228"/>
      <c r="I81" s="2227" t="s">
        <v>261</v>
      </c>
      <c r="J81" s="2291"/>
      <c r="K81" s="2291"/>
      <c r="L81" s="2290"/>
      <c r="M81" s="2194"/>
      <c r="N81" s="2282" t="s">
        <v>258</v>
      </c>
      <c r="O81" s="2194"/>
    </row>
    <row r="82" spans="1:15" ht="15.75">
      <c r="A82" s="2214"/>
      <c r="B82" s="2265" t="s">
        <v>1408</v>
      </c>
      <c r="C82" s="2281">
        <v>1</v>
      </c>
      <c r="D82" s="2212" t="s">
        <v>257</v>
      </c>
      <c r="E82" s="2266">
        <f>E55*C82</f>
        <v>152544.12688334828</v>
      </c>
      <c r="F82" s="2212" t="s">
        <v>1437</v>
      </c>
      <c r="G82" s="2212"/>
      <c r="H82" s="2289"/>
      <c r="I82" s="2246" t="s">
        <v>243</v>
      </c>
      <c r="J82" s="2245"/>
      <c r="K82" s="2245"/>
      <c r="L82" s="2244"/>
      <c r="M82" s="2194"/>
      <c r="N82" s="2280" t="s">
        <v>256</v>
      </c>
      <c r="O82" s="2194"/>
    </row>
    <row r="83" spans="1:15" ht="15.75">
      <c r="A83" s="2214"/>
      <c r="B83" s="2212"/>
      <c r="C83" s="2212"/>
      <c r="D83" s="2212"/>
      <c r="E83" s="2279">
        <f>E56*C82</f>
        <v>0.54362598532209838</v>
      </c>
      <c r="F83" s="2278" t="s">
        <v>255</v>
      </c>
      <c r="G83" s="2278"/>
      <c r="H83" s="2289"/>
      <c r="I83" s="2243" t="s">
        <v>1453</v>
      </c>
      <c r="J83" s="2243" t="s">
        <v>1454</v>
      </c>
      <c r="K83" s="2243" t="s">
        <v>245</v>
      </c>
      <c r="L83" s="2258" t="s">
        <v>1456</v>
      </c>
      <c r="M83" s="2194"/>
      <c r="N83" s="2277" t="s">
        <v>1456</v>
      </c>
      <c r="O83" s="2194"/>
    </row>
    <row r="84" spans="1:15">
      <c r="A84" s="2214"/>
      <c r="B84" s="2265" t="s">
        <v>1407</v>
      </c>
      <c r="C84" s="2212"/>
      <c r="D84" s="2212"/>
      <c r="E84" s="2266"/>
      <c r="F84" s="2212"/>
      <c r="G84" s="2212"/>
      <c r="H84" s="2212"/>
      <c r="I84" s="2212"/>
      <c r="J84" s="2212"/>
      <c r="K84" s="2212"/>
      <c r="L84" s="2275"/>
      <c r="M84" s="2194"/>
      <c r="N84" s="2275"/>
      <c r="O84" s="2194"/>
    </row>
    <row r="85" spans="1:15" ht="15.75">
      <c r="A85" s="2214"/>
      <c r="B85" s="2212" t="s">
        <v>1184</v>
      </c>
      <c r="C85" s="2242">
        <f>2*150</f>
        <v>300</v>
      </c>
      <c r="D85" s="2212" t="s">
        <v>1414</v>
      </c>
      <c r="E85" s="2287">
        <f>(C85*E83/VLOOKUP($B82,'[3]Standard values'!$C$9:$S$159,14, FALSE))/1000</f>
        <v>6.0830956955102398E-3</v>
      </c>
      <c r="F85" s="2212" t="s">
        <v>260</v>
      </c>
      <c r="G85" s="2212"/>
      <c r="H85" s="2212"/>
      <c r="I85" s="2215">
        <f>$E85*VLOOKUP($B85,'[3]Standard values'!$C$9:$S$159,15, FALSE)*VLOOKUP(C86,'[3]Standard values'!$C$9:$S$159,7, FALSE)/$E$146</f>
        <v>0.98851174934725849</v>
      </c>
      <c r="J85" s="2215">
        <f>$E85*((VLOOKUP($B85,'[3]Standard values'!$C$9:$S$159,15, FALSE)*VLOOKUP(C86,'[3]Standard values'!$C$9:$S$159,8, FALSE))+VLOOKUP($B85,'[3]Standard values'!$C$9:$S$159,16, FALSE))/$E$146</f>
        <v>5.5949272659455434E-5</v>
      </c>
      <c r="K85" s="2215">
        <f>$E85*((VLOOKUP($B85,'[3]Standard values'!$C$9:$S$159,15, FALSE)*VLOOKUP(C86,'[3]Standard values'!$C$9:$S$159,9, FALSE))+VLOOKUP($B85,'[3]Standard values'!$C$9:$S$159,17, FALSE))/$E$146</f>
        <v>0</v>
      </c>
      <c r="L85" s="2254">
        <f>I85*'[3]Standard values'!$D$10+J85*'[3]Standard values'!$D$11+K85*'[3]Standard values'!$D$12</f>
        <v>0.98991048116374492</v>
      </c>
      <c r="M85" s="2194"/>
      <c r="N85" s="2285">
        <f>+L85/E$57</f>
        <v>26.5395</v>
      </c>
      <c r="O85" s="2194"/>
    </row>
    <row r="86" spans="1:15">
      <c r="A86" s="2214"/>
      <c r="B86" s="2217" t="s">
        <v>1374</v>
      </c>
      <c r="C86" s="2288" t="s">
        <v>1413</v>
      </c>
      <c r="D86" s="2212"/>
      <c r="E86" s="2214"/>
      <c r="F86" s="2212"/>
      <c r="G86" s="2212"/>
      <c r="H86" s="2212"/>
      <c r="I86" s="2215"/>
      <c r="J86" s="2215"/>
      <c r="K86" s="2215"/>
      <c r="L86" s="2240"/>
      <c r="M86" s="2194"/>
      <c r="N86" s="2285"/>
      <c r="O86" s="2194"/>
    </row>
    <row r="87" spans="1:15">
      <c r="A87" s="2214"/>
      <c r="B87" s="2212"/>
      <c r="C87" s="2267"/>
      <c r="D87" s="2212"/>
      <c r="E87" s="2287"/>
      <c r="F87" s="2212"/>
      <c r="G87" s="2212"/>
      <c r="H87" s="2212"/>
      <c r="I87" s="2215"/>
      <c r="J87" s="2215"/>
      <c r="K87" s="2215"/>
      <c r="L87" s="2240"/>
      <c r="M87" s="2194"/>
      <c r="N87" s="2285"/>
      <c r="O87" s="2194"/>
    </row>
    <row r="88" spans="1:15">
      <c r="A88" s="2214"/>
      <c r="B88" s="2265" t="s">
        <v>1457</v>
      </c>
      <c r="C88" s="2212"/>
      <c r="D88" s="2212"/>
      <c r="E88" s="2214"/>
      <c r="F88" s="2212"/>
      <c r="G88" s="2212"/>
      <c r="H88" s="2212"/>
      <c r="I88" s="2215"/>
      <c r="J88" s="2215"/>
      <c r="K88" s="2215"/>
      <c r="L88" s="2276"/>
      <c r="M88" s="2194"/>
      <c r="N88" s="2285"/>
      <c r="O88" s="2194"/>
    </row>
    <row r="89" spans="1:15" ht="15.75">
      <c r="A89" s="2286"/>
      <c r="B89" s="2212" t="s">
        <v>1371</v>
      </c>
      <c r="C89" s="2242">
        <v>8.4000000000000003E-4</v>
      </c>
      <c r="D89" s="2212" t="s">
        <v>254</v>
      </c>
      <c r="E89" s="2214"/>
      <c r="F89" s="2212"/>
      <c r="G89" s="2212"/>
      <c r="H89" s="2212"/>
      <c r="I89" s="2215">
        <f>$C89*$E$83*VLOOKUP($B89,'[3]Standard values'!$C$9:$S$159,7, FALSE)/$E$146</f>
        <v>0.10146738000000001</v>
      </c>
      <c r="J89" s="2215">
        <f>$C89*$E$83*VLOOKUP($B89,'[3]Standard values'!$C$9:$S$159,8, FALSE)/$E$146</f>
        <v>2.4745000000000002E-4</v>
      </c>
      <c r="K89" s="2215">
        <f>$C89*$E$83*VLOOKUP($B89,'[3]Standard values'!$C$9:$S$159,9, FALSE)/$E$146</f>
        <v>4.596666666666667E-6</v>
      </c>
      <c r="L89" s="2240">
        <f>I89*'[3]Standard values'!$D$10+J89*'[3]Standard values'!$D$11+K89*'[3]Standard values'!$D$12</f>
        <v>0.10902343666666668</v>
      </c>
      <c r="M89" s="2194"/>
      <c r="N89" s="2285">
        <f>+L89/E$57</f>
        <v>2.9229183370333338</v>
      </c>
      <c r="O89" s="2194"/>
    </row>
    <row r="90" spans="1:15" ht="14.25">
      <c r="A90" s="2239"/>
      <c r="B90" s="2237"/>
      <c r="C90" s="2237"/>
      <c r="D90" s="2237"/>
      <c r="E90" s="2239"/>
      <c r="F90" s="2238"/>
      <c r="G90" s="2238"/>
      <c r="H90" s="2238" t="s">
        <v>241</v>
      </c>
      <c r="I90" s="2237"/>
      <c r="J90" s="2236" t="s">
        <v>1451</v>
      </c>
      <c r="K90" s="2235"/>
      <c r="L90" s="2234">
        <f>L89+L85</f>
        <v>1.0989339178304116</v>
      </c>
      <c r="M90" s="2194"/>
      <c r="N90" s="2274">
        <f>+L90/E$57</f>
        <v>29.462418337033338</v>
      </c>
      <c r="O90" s="2194"/>
    </row>
    <row r="91" spans="1:15">
      <c r="A91" s="2193"/>
      <c r="B91" s="2193"/>
      <c r="C91" s="2193"/>
      <c r="D91" s="2193"/>
      <c r="E91" s="2193"/>
      <c r="F91" s="2233"/>
      <c r="G91" s="2233"/>
      <c r="H91" s="2233"/>
      <c r="I91" s="2193"/>
      <c r="J91" s="2232"/>
      <c r="K91" s="2231"/>
      <c r="L91" s="2284"/>
      <c r="M91" s="2194"/>
      <c r="N91" s="2194"/>
      <c r="O91" s="2194"/>
    </row>
    <row r="92" spans="1:15">
      <c r="A92" s="2193"/>
      <c r="B92" s="2193"/>
      <c r="C92" s="2193"/>
      <c r="D92" s="2193"/>
      <c r="E92" s="2193"/>
      <c r="F92" s="2233"/>
      <c r="G92" s="2233"/>
      <c r="H92" s="2233"/>
      <c r="I92" s="2193"/>
      <c r="J92" s="2232"/>
      <c r="K92" s="2231"/>
      <c r="L92" s="2284"/>
      <c r="M92" s="2194"/>
      <c r="N92" s="2194"/>
      <c r="O92" s="2194"/>
    </row>
    <row r="93" spans="1:15" ht="15.75">
      <c r="A93" s="2229" t="s">
        <v>259</v>
      </c>
      <c r="B93" s="2228"/>
      <c r="C93" s="2228"/>
      <c r="D93" s="2228"/>
      <c r="E93" s="2229" t="s">
        <v>239</v>
      </c>
      <c r="F93" s="2228"/>
      <c r="G93" s="2228"/>
      <c r="H93" s="2228"/>
      <c r="I93" s="2228"/>
      <c r="J93" s="2228"/>
      <c r="K93" s="2228"/>
      <c r="L93" s="2283"/>
      <c r="M93" s="2194"/>
      <c r="N93" s="2282" t="s">
        <v>258</v>
      </c>
      <c r="O93" s="2194"/>
    </row>
    <row r="94" spans="1:15" ht="15.75">
      <c r="A94" s="2214"/>
      <c r="B94" s="2265" t="s">
        <v>1428</v>
      </c>
      <c r="C94" s="2281">
        <v>1</v>
      </c>
      <c r="D94" s="2212" t="s">
        <v>257</v>
      </c>
      <c r="E94" s="2266">
        <f>E82*C94</f>
        <v>152544.12688334828</v>
      </c>
      <c r="F94" s="2212" t="s">
        <v>1437</v>
      </c>
      <c r="G94" s="2212"/>
      <c r="H94" s="2212"/>
      <c r="I94" s="2246" t="s">
        <v>243</v>
      </c>
      <c r="J94" s="2245"/>
      <c r="K94" s="2245"/>
      <c r="L94" s="2244"/>
      <c r="M94" s="2194"/>
      <c r="N94" s="2280" t="s">
        <v>256</v>
      </c>
      <c r="O94" s="2194"/>
    </row>
    <row r="95" spans="1:15" ht="15.75">
      <c r="A95" s="2214"/>
      <c r="B95" s="2212"/>
      <c r="C95" s="2212"/>
      <c r="D95" s="2212"/>
      <c r="E95" s="2279">
        <f>E83*C94</f>
        <v>0.54362598532209838</v>
      </c>
      <c r="F95" s="2278" t="s">
        <v>255</v>
      </c>
      <c r="G95" s="2278"/>
      <c r="H95" s="2212"/>
      <c r="I95" s="2243" t="s">
        <v>1453</v>
      </c>
      <c r="J95" s="2243" t="s">
        <v>1454</v>
      </c>
      <c r="K95" s="2243" t="s">
        <v>245</v>
      </c>
      <c r="L95" s="2258" t="s">
        <v>1456</v>
      </c>
      <c r="M95" s="2194"/>
      <c r="N95" s="2277" t="s">
        <v>1456</v>
      </c>
      <c r="O95" s="2194"/>
    </row>
    <row r="96" spans="1:15">
      <c r="A96" s="2214"/>
      <c r="B96" s="2265" t="s">
        <v>1429</v>
      </c>
      <c r="C96" s="2212"/>
      <c r="D96" s="2212"/>
      <c r="E96" s="2214"/>
      <c r="F96" s="2212"/>
      <c r="G96" s="2212"/>
      <c r="H96" s="2212"/>
      <c r="I96" s="2215"/>
      <c r="J96" s="2215"/>
      <c r="K96" s="2215"/>
      <c r="L96" s="2276"/>
      <c r="M96" s="2194"/>
      <c r="N96" s="2275"/>
      <c r="O96" s="2194"/>
    </row>
    <row r="97" spans="1:15" ht="15.75">
      <c r="A97" s="2214"/>
      <c r="B97" s="2212" t="s">
        <v>1371</v>
      </c>
      <c r="C97" s="2242">
        <v>3.3999999999999998E-3</v>
      </c>
      <c r="D97" s="2212" t="s">
        <v>254</v>
      </c>
      <c r="E97" s="2214"/>
      <c r="F97" s="2212"/>
      <c r="G97" s="2212"/>
      <c r="H97" s="2212"/>
      <c r="I97" s="2215">
        <f>$C97*$E$83*VLOOKUP($B97,'[3]Standard values'!$C$9:$S$159,7, FALSE)/$E$146</f>
        <v>0.41070129999999994</v>
      </c>
      <c r="J97" s="2215">
        <f>$C97*$E$83*VLOOKUP($B97,'[3]Standard values'!$C$9:$S$159,8, FALSE)/$E$146</f>
        <v>1.0015833333333333E-3</v>
      </c>
      <c r="K97" s="2215">
        <f>$C97*$E$83*VLOOKUP($B97,'[3]Standard values'!$C$9:$S$159,9, FALSE)/$E$146</f>
        <v>1.8605555555555555E-5</v>
      </c>
      <c r="L97" s="2240">
        <f>I97*'[3]Standard values'!$D$10+J97*'[3]Standard values'!$D$11+K97*'[3]Standard values'!$D$12</f>
        <v>0.44128533888888882</v>
      </c>
      <c r="M97" s="2194"/>
      <c r="N97" s="2274">
        <f>+L97/E$57</f>
        <v>11.830859935611109</v>
      </c>
      <c r="O97" s="2194"/>
    </row>
    <row r="98" spans="1:15" ht="14.25">
      <c r="A98" s="2239"/>
      <c r="B98" s="2237"/>
      <c r="C98" s="2237"/>
      <c r="D98" s="2237"/>
      <c r="E98" s="2239"/>
      <c r="F98" s="2238"/>
      <c r="G98" s="2238"/>
      <c r="H98" s="2238" t="s">
        <v>241</v>
      </c>
      <c r="I98" s="2237"/>
      <c r="J98" s="2236" t="s">
        <v>1451</v>
      </c>
      <c r="K98" s="2235"/>
      <c r="L98" s="2234">
        <f>L97</f>
        <v>0.44128533888888882</v>
      </c>
      <c r="M98" s="2194"/>
      <c r="N98" s="2273"/>
      <c r="O98" s="2194"/>
    </row>
    <row r="99" spans="1:15">
      <c r="A99" s="2193"/>
      <c r="B99" s="2193"/>
      <c r="C99" s="2193"/>
      <c r="D99" s="2193"/>
      <c r="E99" s="2193"/>
      <c r="F99" s="2233"/>
      <c r="G99" s="2233"/>
      <c r="H99" s="2233"/>
      <c r="I99" s="2193"/>
      <c r="J99" s="2232"/>
      <c r="K99" s="2231"/>
      <c r="L99" s="2272"/>
      <c r="M99" s="2194"/>
      <c r="N99" s="2194"/>
      <c r="O99" s="2194"/>
    </row>
    <row r="100" spans="1:15">
      <c r="A100" s="2193"/>
      <c r="B100" s="2193"/>
      <c r="C100" s="2193"/>
      <c r="D100" s="2193"/>
      <c r="E100" s="2193"/>
      <c r="F100" s="2233"/>
      <c r="G100" s="2233"/>
      <c r="H100" s="2233"/>
      <c r="I100" s="2193"/>
      <c r="J100" s="2232"/>
      <c r="K100" s="2231"/>
      <c r="L100" s="2272"/>
      <c r="M100" s="2194"/>
      <c r="N100" s="2194"/>
      <c r="O100" s="2194"/>
    </row>
    <row r="101" spans="1:15" ht="15.75">
      <c r="A101" s="2229" t="s">
        <v>253</v>
      </c>
      <c r="B101" s="2252"/>
      <c r="C101" s="2251"/>
      <c r="D101" s="2228"/>
      <c r="E101" s="2250"/>
      <c r="F101" s="2228"/>
      <c r="G101" s="2228"/>
      <c r="H101" s="2228"/>
      <c r="I101" s="2228"/>
      <c r="J101" s="2228"/>
      <c r="K101" s="2228"/>
      <c r="L101" s="2249"/>
      <c r="M101" s="2194"/>
      <c r="N101" s="2194"/>
      <c r="O101" s="2194"/>
    </row>
    <row r="102" spans="1:15" ht="15.75">
      <c r="A102" s="2248"/>
      <c r="B102" s="2271" t="s">
        <v>1193</v>
      </c>
      <c r="C102" s="2265" t="s">
        <v>252</v>
      </c>
      <c r="D102" s="2212"/>
      <c r="E102" s="2214"/>
      <c r="F102" s="2212"/>
      <c r="G102" s="2212"/>
      <c r="H102" s="2212"/>
      <c r="I102" s="2212"/>
      <c r="J102" s="2212"/>
      <c r="K102" s="2212"/>
      <c r="L102" s="2244"/>
      <c r="M102" s="2194"/>
      <c r="N102" s="2193"/>
      <c r="O102" s="2193"/>
    </row>
    <row r="103" spans="1:15" ht="15.75" customHeight="1">
      <c r="A103" s="2248"/>
      <c r="B103" s="2265"/>
      <c r="C103" s="2267"/>
      <c r="D103" s="2264" t="s">
        <v>747</v>
      </c>
      <c r="E103" s="2263" t="str">
        <f>IF(D105="Yes","From :  ", " ")</f>
        <v xml:space="preserve"> </v>
      </c>
      <c r="F103" s="3240" t="str">
        <f>IF(D105="Yes",[3]LUC!H$35 &amp; " ; " &amp; [3]LUC!H$36 &amp; " ; " &amp; [3]LUC!H$39 &amp; " ; " &amp; [3]LUC!H$40 &amp; " ; " &amp; [3]LUC!H$45 &amp; " ; " &amp; [3]LUC!H$46 &amp; " ; " &amp; [3]LUC!H$47, " ")</f>
        <v xml:space="preserve"> </v>
      </c>
      <c r="G103" s="3240"/>
      <c r="H103" s="3240"/>
      <c r="I103" s="3240"/>
      <c r="J103" s="3240"/>
      <c r="K103" s="3240"/>
      <c r="L103" s="3241"/>
      <c r="M103" s="2194"/>
      <c r="N103" s="2193"/>
      <c r="O103" s="2193"/>
    </row>
    <row r="104" spans="1:15" ht="15.75">
      <c r="A104" s="2248"/>
      <c r="B104" s="2243" t="s">
        <v>251</v>
      </c>
      <c r="C104" s="2270" t="s">
        <v>747</v>
      </c>
      <c r="D104" s="2264" t="s">
        <v>748</v>
      </c>
      <c r="E104" s="2266"/>
      <c r="F104" s="3240"/>
      <c r="G104" s="3240"/>
      <c r="H104" s="3240"/>
      <c r="I104" s="3240"/>
      <c r="J104" s="3240"/>
      <c r="K104" s="3240"/>
      <c r="L104" s="3241"/>
      <c r="M104" s="2194"/>
      <c r="N104" s="2193"/>
      <c r="O104" s="2193"/>
    </row>
    <row r="105" spans="1:15" ht="15.75" customHeight="1">
      <c r="A105" s="2248"/>
      <c r="B105" s="2265"/>
      <c r="C105" s="2261" t="str">
        <f>IF(D105="Yes","Go to", " ")</f>
        <v xml:space="preserve"> </v>
      </c>
      <c r="D105" s="2264" t="s">
        <v>748</v>
      </c>
      <c r="E105" s="2263" t="str">
        <f>IF(D105="Yes","To    :   ", " ")</f>
        <v xml:space="preserve"> </v>
      </c>
      <c r="F105" s="3242" t="str">
        <f>IF(D105="Yes", [3]LUC!D$35 &amp; " ; " &amp; [3]LUC!D$36 &amp; " ; " &amp; [3]LUC!D$39 &amp; " ; " &amp; [3]LUC!D$40 &amp; " ; " &amp; [3]LUC!D$45 &amp; " ; " &amp; [3]LUC!D$46 &amp; " ; " &amp; [3]LUC!D$47, " ")</f>
        <v xml:space="preserve"> </v>
      </c>
      <c r="G105" s="3242"/>
      <c r="H105" s="3242"/>
      <c r="I105" s="3242"/>
      <c r="J105" s="3242"/>
      <c r="K105" s="3242"/>
      <c r="L105" s="3243"/>
      <c r="M105" s="2194"/>
      <c r="N105" s="2193"/>
      <c r="O105" s="2193"/>
    </row>
    <row r="106" spans="1:15" ht="15.75">
      <c r="A106" s="2248"/>
      <c r="B106" s="2247"/>
      <c r="C106" s="551" t="str">
        <f>IF(D105="Yes","sheet 'LUC' ", " ")</f>
        <v xml:space="preserve"> </v>
      </c>
      <c r="D106" s="2212"/>
      <c r="E106" s="2260"/>
      <c r="F106" s="3242"/>
      <c r="G106" s="3242"/>
      <c r="H106" s="3242"/>
      <c r="I106" s="3242"/>
      <c r="J106" s="3242"/>
      <c r="K106" s="3242"/>
      <c r="L106" s="3243"/>
      <c r="M106" s="2194"/>
      <c r="N106" s="2193"/>
      <c r="O106" s="2193"/>
    </row>
    <row r="107" spans="1:15" ht="15.75">
      <c r="A107" s="2248"/>
      <c r="B107" s="2247"/>
      <c r="C107" s="2261" t="str">
        <f>IF(D105="Yes","to calculate the land use change", " ")</f>
        <v xml:space="preserve"> </v>
      </c>
      <c r="D107" s="2212"/>
      <c r="E107" s="2260"/>
      <c r="F107" s="2259"/>
      <c r="G107" s="2259"/>
      <c r="H107" s="2259"/>
      <c r="I107" s="2246" t="s">
        <v>243</v>
      </c>
      <c r="J107" s="2245"/>
      <c r="K107" s="2259"/>
      <c r="L107" s="2262"/>
      <c r="M107" s="2194"/>
      <c r="N107" s="2193"/>
      <c r="O107" s="2193"/>
    </row>
    <row r="108" spans="1:15" ht="16.5">
      <c r="A108" s="2248"/>
      <c r="B108" s="2247"/>
      <c r="C108" s="2261"/>
      <c r="D108" s="2212"/>
      <c r="E108" s="2260"/>
      <c r="F108" s="2259"/>
      <c r="G108" s="2259"/>
      <c r="H108" s="2259"/>
      <c r="I108" s="2243" t="s">
        <v>1453</v>
      </c>
      <c r="J108" s="2243" t="s">
        <v>1454</v>
      </c>
      <c r="K108" s="2243" t="s">
        <v>245</v>
      </c>
      <c r="L108" s="2258" t="s">
        <v>1456</v>
      </c>
      <c r="M108" s="2194"/>
      <c r="N108" s="2193"/>
      <c r="O108" s="2193"/>
    </row>
    <row r="109" spans="1:15" ht="16.5">
      <c r="A109" s="2248"/>
      <c r="B109" s="2257" t="s">
        <v>250</v>
      </c>
      <c r="C109" s="2256">
        <f>IF(D105="Yes",[3]LUC!$J$82,0)</f>
        <v>0</v>
      </c>
      <c r="D109" s="2255" t="s">
        <v>244</v>
      </c>
      <c r="E109" s="2214"/>
      <c r="F109" s="2212"/>
      <c r="G109" s="2212"/>
      <c r="H109" s="2212"/>
      <c r="I109" s="2215">
        <f>$C109*1000000/$E$145</f>
        <v>0</v>
      </c>
      <c r="J109" s="2215">
        <v>0</v>
      </c>
      <c r="K109" s="2215">
        <v>0</v>
      </c>
      <c r="L109" s="2254">
        <f>I109*'[3]Standard values'!$D$10+J109*'[3]Standard values'!$D$11+K109*'[3]Standard values'!$D$12</f>
        <v>0</v>
      </c>
      <c r="M109" s="2194"/>
      <c r="N109" s="2193"/>
      <c r="O109" s="2193"/>
    </row>
    <row r="110" spans="1:15" ht="15.75">
      <c r="A110" s="2248"/>
      <c r="B110" s="2247"/>
      <c r="C110" s="2246"/>
      <c r="D110" s="2212"/>
      <c r="E110" s="2214"/>
      <c r="F110" s="2212"/>
      <c r="G110" s="2212"/>
      <c r="H110" s="2212"/>
      <c r="I110" s="2215"/>
      <c r="J110" s="2215"/>
      <c r="K110" s="2215"/>
      <c r="L110" s="2240"/>
      <c r="M110" s="2194"/>
      <c r="N110" s="2193"/>
      <c r="O110" s="2193"/>
    </row>
    <row r="111" spans="1:15" ht="15.75">
      <c r="A111" s="2214"/>
      <c r="B111" s="2243" t="s">
        <v>249</v>
      </c>
      <c r="C111" s="2242">
        <v>0</v>
      </c>
      <c r="D111" s="2241" t="s">
        <v>242</v>
      </c>
      <c r="E111" s="2269"/>
      <c r="F111" s="2212"/>
      <c r="G111" s="2212"/>
      <c r="H111" s="2212"/>
      <c r="I111" s="2215">
        <f>-C111</f>
        <v>0</v>
      </c>
      <c r="J111" s="2215">
        <v>0</v>
      </c>
      <c r="K111" s="2215">
        <v>0</v>
      </c>
      <c r="L111" s="2254">
        <f>I111*'[3]Standard values'!$D$10+J111*'[3]Standard values'!$D$11+K111*'[3]Standard values'!$D$12</f>
        <v>0</v>
      </c>
      <c r="M111" s="2194"/>
      <c r="N111" s="2193"/>
      <c r="O111" s="2193"/>
    </row>
    <row r="112" spans="1:15">
      <c r="A112" s="2214"/>
      <c r="B112" s="2243" t="str">
        <f>IF(C111=-29,"Year of conversion:","")</f>
        <v/>
      </c>
      <c r="C112" s="2268"/>
      <c r="D112" s="2241" t="str">
        <f>IF(C111=-29,"Fill in the year of conversion","")</f>
        <v/>
      </c>
      <c r="E112" s="2214"/>
      <c r="F112" s="2212"/>
      <c r="G112" s="2212"/>
      <c r="H112" s="2212"/>
      <c r="I112" s="2212"/>
      <c r="J112" s="2212"/>
      <c r="K112" s="2215"/>
      <c r="L112" s="2240">
        <f>SUM(L109:L111)</f>
        <v>0</v>
      </c>
      <c r="M112" s="2194"/>
      <c r="N112" s="2193"/>
      <c r="O112" s="2193"/>
    </row>
    <row r="113" spans="1:15">
      <c r="A113" s="2214"/>
      <c r="B113" s="2243"/>
      <c r="C113" s="2243"/>
      <c r="D113" s="2241"/>
      <c r="E113" s="2214"/>
      <c r="F113" s="2212"/>
      <c r="G113" s="2212"/>
      <c r="H113" s="2212"/>
      <c r="I113" s="2212"/>
      <c r="J113" s="2212"/>
      <c r="K113" s="2215"/>
      <c r="L113" s="2253"/>
      <c r="M113" s="2194"/>
      <c r="N113" s="2193"/>
      <c r="O113" s="2193"/>
    </row>
    <row r="114" spans="1:15" ht="14.25">
      <c r="A114" s="2239"/>
      <c r="B114" s="2237"/>
      <c r="C114" s="2237"/>
      <c r="D114" s="2237"/>
      <c r="E114" s="2239"/>
      <c r="F114" s="2238"/>
      <c r="G114" s="2238"/>
      <c r="H114" s="2238" t="s">
        <v>241</v>
      </c>
      <c r="I114" s="2237"/>
      <c r="J114" s="2236" t="s">
        <v>1451</v>
      </c>
      <c r="K114" s="2235"/>
      <c r="L114" s="2234">
        <f>L112</f>
        <v>0</v>
      </c>
      <c r="M114" s="2194"/>
      <c r="N114" s="2193"/>
      <c r="O114" s="2193"/>
    </row>
    <row r="115" spans="1:15">
      <c r="A115" s="2193"/>
      <c r="B115" s="2193"/>
      <c r="C115" s="2193"/>
      <c r="D115" s="2193"/>
      <c r="E115" s="2193"/>
      <c r="F115" s="2233"/>
      <c r="G115" s="2233"/>
      <c r="H115" s="2233"/>
      <c r="I115" s="2193"/>
      <c r="J115" s="2232"/>
      <c r="K115" s="2231"/>
      <c r="L115" s="2230"/>
      <c r="M115" s="2194"/>
      <c r="N115" s="2193"/>
      <c r="O115" s="2193"/>
    </row>
    <row r="116" spans="1:15">
      <c r="A116" s="2193"/>
      <c r="B116" s="2193"/>
      <c r="C116" s="2193"/>
      <c r="D116" s="2193"/>
      <c r="E116" s="2193"/>
      <c r="F116" s="2233"/>
      <c r="G116" s="2233"/>
      <c r="H116" s="2233"/>
      <c r="I116" s="2193"/>
      <c r="J116" s="2232"/>
      <c r="K116" s="2231"/>
      <c r="L116" s="2230"/>
      <c r="M116" s="2194"/>
      <c r="N116" s="2193"/>
      <c r="O116" s="2193"/>
    </row>
    <row r="117" spans="1:15" ht="15.75">
      <c r="A117" s="2229" t="s">
        <v>248</v>
      </c>
      <c r="B117" s="2252"/>
      <c r="C117" s="2251"/>
      <c r="D117" s="2228"/>
      <c r="E117" s="2250"/>
      <c r="F117" s="2228"/>
      <c r="G117" s="2228"/>
      <c r="H117" s="2228"/>
      <c r="I117" s="2228"/>
      <c r="J117" s="2228"/>
      <c r="K117" s="2228"/>
      <c r="L117" s="2249"/>
      <c r="M117" s="2194"/>
      <c r="N117" s="2193"/>
      <c r="O117" s="2193"/>
    </row>
    <row r="118" spans="1:15" ht="15.75">
      <c r="A118" s="2248"/>
      <c r="B118" s="2247" t="s">
        <v>1192</v>
      </c>
      <c r="C118" s="2246" t="s">
        <v>247</v>
      </c>
      <c r="D118" s="2211"/>
      <c r="E118" s="2214"/>
      <c r="F118" s="2212"/>
      <c r="G118" s="2212"/>
      <c r="H118" s="2212"/>
      <c r="I118" s="2246" t="s">
        <v>243</v>
      </c>
      <c r="J118" s="2245"/>
      <c r="K118" s="2245"/>
      <c r="L118" s="2244"/>
      <c r="M118" s="2194"/>
      <c r="N118" s="2193"/>
      <c r="O118" s="2193"/>
    </row>
    <row r="119" spans="1:15" ht="15.75">
      <c r="A119" s="2248"/>
      <c r="B119" s="2265"/>
      <c r="C119" s="2267"/>
      <c r="D119" s="2264" t="s">
        <v>747</v>
      </c>
      <c r="E119" s="2263" t="str">
        <f>IF(D121="Yes","From :  ", " ")</f>
        <v xml:space="preserve"> </v>
      </c>
      <c r="F119" s="3240" t="str">
        <f>IF(D121="Yes",[3]Esca!H$42 &amp; ", " &amp; [3]Esca!H$43 &amp; " input ","")</f>
        <v/>
      </c>
      <c r="G119" s="3240"/>
      <c r="H119" s="3240"/>
      <c r="I119" s="3240"/>
      <c r="J119" s="3240"/>
      <c r="K119" s="3240"/>
      <c r="L119" s="3241"/>
      <c r="M119" s="2194"/>
      <c r="N119" s="2193"/>
      <c r="O119" s="2193"/>
    </row>
    <row r="120" spans="1:15" ht="15.75">
      <c r="A120" s="2248"/>
      <c r="B120" s="2243" t="s">
        <v>246</v>
      </c>
      <c r="C120" s="2267"/>
      <c r="D120" s="2264" t="s">
        <v>748</v>
      </c>
      <c r="E120" s="2266"/>
      <c r="F120" s="3240"/>
      <c r="G120" s="3240"/>
      <c r="H120" s="3240"/>
      <c r="I120" s="3240"/>
      <c r="J120" s="3240"/>
      <c r="K120" s="3240"/>
      <c r="L120" s="3241"/>
      <c r="M120" s="2194"/>
      <c r="N120" s="2193"/>
      <c r="O120" s="2193"/>
    </row>
    <row r="121" spans="1:15" ht="15.75">
      <c r="A121" s="2248"/>
      <c r="B121" s="2265"/>
      <c r="C121" s="2261" t="str">
        <f>IF(D121="Yes","Go to", " ")</f>
        <v xml:space="preserve"> </v>
      </c>
      <c r="D121" s="2264" t="s">
        <v>748</v>
      </c>
      <c r="E121" s="2263" t="str">
        <f>IF(D121="Yes","To    :   ", " ")</f>
        <v xml:space="preserve"> </v>
      </c>
      <c r="F121" s="3240" t="str">
        <f>IF(D121="Yes",[3]Esca!D$42 &amp; ", " &amp; [3]Esca!D$43 &amp; " input ","")</f>
        <v/>
      </c>
      <c r="G121" s="3240"/>
      <c r="H121" s="3240"/>
      <c r="I121" s="3240"/>
      <c r="J121" s="3240"/>
      <c r="K121" s="3240"/>
      <c r="L121" s="3241"/>
      <c r="M121" s="2194"/>
      <c r="N121" s="2193"/>
      <c r="O121" s="2193"/>
    </row>
    <row r="122" spans="1:15" ht="15.75">
      <c r="A122" s="2248"/>
      <c r="B122" s="2247"/>
      <c r="C122" s="551" t="str">
        <f>IF(D121="Yes","sheet 'Esca' ", " ")</f>
        <v xml:space="preserve"> </v>
      </c>
      <c r="D122" s="2212"/>
      <c r="E122" s="2260"/>
      <c r="F122" s="3240"/>
      <c r="G122" s="3240"/>
      <c r="H122" s="3240"/>
      <c r="I122" s="3240"/>
      <c r="J122" s="3240"/>
      <c r="K122" s="3240"/>
      <c r="L122" s="3241"/>
      <c r="M122" s="2194"/>
      <c r="N122" s="2193"/>
      <c r="O122" s="2193"/>
    </row>
    <row r="123" spans="1:15" ht="15.75">
      <c r="A123" s="2248"/>
      <c r="B123" s="2247"/>
      <c r="C123" s="2261" t="str">
        <f>IF(D121="Yes","to calculate the soil carbon accumulation", " ")</f>
        <v xml:space="preserve"> </v>
      </c>
      <c r="D123" s="2212"/>
      <c r="E123" s="2260"/>
      <c r="F123" s="2259"/>
      <c r="G123" s="2259"/>
      <c r="H123" s="2259"/>
      <c r="I123" s="2246" t="s">
        <v>243</v>
      </c>
      <c r="J123" s="2245"/>
      <c r="K123" s="2259"/>
      <c r="L123" s="2262"/>
      <c r="M123" s="2194"/>
      <c r="N123" s="2193"/>
      <c r="O123" s="2193"/>
    </row>
    <row r="124" spans="1:15" ht="16.5">
      <c r="A124" s="2248"/>
      <c r="B124" s="2247"/>
      <c r="C124" s="2261"/>
      <c r="D124" s="2212"/>
      <c r="E124" s="2260"/>
      <c r="F124" s="2259"/>
      <c r="G124" s="2259"/>
      <c r="H124" s="2259"/>
      <c r="I124" s="2243" t="s">
        <v>1453</v>
      </c>
      <c r="J124" s="2243" t="s">
        <v>1454</v>
      </c>
      <c r="K124" s="2243" t="s">
        <v>245</v>
      </c>
      <c r="L124" s="2258" t="s">
        <v>1456</v>
      </c>
      <c r="M124" s="2194"/>
      <c r="N124" s="2193"/>
      <c r="O124" s="2193"/>
    </row>
    <row r="125" spans="1:15" ht="16.5">
      <c r="A125" s="2248"/>
      <c r="B125" s="2257" t="s">
        <v>834</v>
      </c>
      <c r="C125" s="2256">
        <f>IF(D121="yes",[3]Esca!$J$77,0)</f>
        <v>0</v>
      </c>
      <c r="D125" s="2255" t="s">
        <v>244</v>
      </c>
      <c r="E125" s="2214"/>
      <c r="F125" s="2212"/>
      <c r="G125" s="2212"/>
      <c r="H125" s="2212"/>
      <c r="I125" s="2215">
        <f>$C125*1000000/$E$145</f>
        <v>0</v>
      </c>
      <c r="J125" s="2215">
        <v>0</v>
      </c>
      <c r="K125" s="2215">
        <v>0</v>
      </c>
      <c r="L125" s="2254">
        <f>I125*'[3]Standard values'!$D$10+J125*'[3]Standard values'!$D$11+K125*'[3]Standard values'!$D$12</f>
        <v>0</v>
      </c>
      <c r="M125" s="2194"/>
      <c r="N125" s="2193"/>
      <c r="O125" s="2193"/>
    </row>
    <row r="126" spans="1:15">
      <c r="A126" s="2214"/>
      <c r="B126" s="2243"/>
      <c r="C126" s="2243"/>
      <c r="D126" s="2241"/>
      <c r="E126" s="2214"/>
      <c r="F126" s="2212"/>
      <c r="G126" s="2212"/>
      <c r="H126" s="2212"/>
      <c r="I126" s="2212"/>
      <c r="J126" s="2212"/>
      <c r="K126" s="2215"/>
      <c r="L126" s="2240">
        <f>SUM(L125:L125)</f>
        <v>0</v>
      </c>
      <c r="M126" s="2194"/>
      <c r="N126" s="2193"/>
      <c r="O126" s="2193"/>
    </row>
    <row r="127" spans="1:15">
      <c r="A127" s="2214"/>
      <c r="B127" s="2243"/>
      <c r="C127" s="2243"/>
      <c r="D127" s="2241"/>
      <c r="E127" s="2214"/>
      <c r="F127" s="2212"/>
      <c r="G127" s="2212"/>
      <c r="H127" s="2212"/>
      <c r="I127" s="2212"/>
      <c r="J127" s="2212"/>
      <c r="K127" s="2215"/>
      <c r="L127" s="2253"/>
      <c r="M127" s="2194"/>
      <c r="N127" s="2193"/>
      <c r="O127" s="2193"/>
    </row>
    <row r="128" spans="1:15" ht="14.25">
      <c r="A128" s="2239"/>
      <c r="B128" s="2237"/>
      <c r="C128" s="2237"/>
      <c r="D128" s="2237"/>
      <c r="E128" s="2239"/>
      <c r="F128" s="2238"/>
      <c r="G128" s="2238"/>
      <c r="H128" s="2238" t="s">
        <v>241</v>
      </c>
      <c r="I128" s="2237"/>
      <c r="J128" s="2236" t="s">
        <v>1451</v>
      </c>
      <c r="K128" s="2235"/>
      <c r="L128" s="2234">
        <f>L126</f>
        <v>0</v>
      </c>
      <c r="M128" s="2194"/>
      <c r="N128" s="2193"/>
      <c r="O128" s="2193"/>
    </row>
    <row r="129" spans="1:15">
      <c r="A129" s="2193"/>
      <c r="B129" s="2193"/>
      <c r="C129" s="2193"/>
      <c r="D129" s="2193"/>
      <c r="E129" s="2193"/>
      <c r="F129" s="2233"/>
      <c r="G129" s="2233"/>
      <c r="H129" s="2233"/>
      <c r="I129" s="2193"/>
      <c r="J129" s="2232"/>
      <c r="K129" s="2231"/>
      <c r="L129" s="2230"/>
      <c r="M129" s="2194"/>
      <c r="N129" s="2193"/>
      <c r="O129" s="2193"/>
    </row>
    <row r="130" spans="1:15">
      <c r="A130" s="2193"/>
      <c r="B130" s="2193"/>
      <c r="C130" s="2193"/>
      <c r="D130" s="2193"/>
      <c r="E130" s="2193"/>
      <c r="F130" s="2233"/>
      <c r="G130" s="2233"/>
      <c r="H130" s="2233"/>
      <c r="I130" s="2193"/>
      <c r="J130" s="2232"/>
      <c r="K130" s="2231"/>
      <c r="L130" s="2230"/>
      <c r="M130" s="2194"/>
      <c r="N130" s="2193"/>
      <c r="O130" s="2193"/>
    </row>
    <row r="131" spans="1:15" ht="18.75">
      <c r="A131" s="2229" t="s">
        <v>1190</v>
      </c>
      <c r="B131" s="2252"/>
      <c r="C131" s="2251"/>
      <c r="D131" s="2228"/>
      <c r="E131" s="2250"/>
      <c r="F131" s="2228"/>
      <c r="G131" s="2228"/>
      <c r="H131" s="2228"/>
      <c r="I131" s="2228"/>
      <c r="J131" s="2228"/>
      <c r="K131" s="2228"/>
      <c r="L131" s="2249"/>
      <c r="M131" s="2194"/>
      <c r="N131" s="2193"/>
      <c r="O131" s="2193"/>
    </row>
    <row r="132" spans="1:15" ht="15.75">
      <c r="A132" s="2248"/>
      <c r="B132" s="2247" t="s">
        <v>1188</v>
      </c>
      <c r="C132" s="2246"/>
      <c r="D132" s="2212"/>
      <c r="E132" s="2214"/>
      <c r="F132" s="2212"/>
      <c r="G132" s="2212"/>
      <c r="H132" s="2212"/>
      <c r="I132" s="2246" t="s">
        <v>243</v>
      </c>
      <c r="J132" s="2245"/>
      <c r="K132" s="2245"/>
      <c r="L132" s="2244"/>
      <c r="M132" s="2194"/>
      <c r="N132" s="2193"/>
      <c r="O132" s="2193"/>
    </row>
    <row r="133" spans="1:15" ht="15.75">
      <c r="A133" s="2214"/>
      <c r="B133" s="2243"/>
      <c r="C133" s="2242">
        <v>0</v>
      </c>
      <c r="D133" s="2241" t="s">
        <v>242</v>
      </c>
      <c r="E133" s="2214"/>
      <c r="F133" s="2212"/>
      <c r="G133" s="2212"/>
      <c r="H133" s="2212"/>
      <c r="I133" s="2212"/>
      <c r="J133" s="2212"/>
      <c r="K133" s="2215"/>
      <c r="L133" s="2240">
        <f>C133</f>
        <v>0</v>
      </c>
      <c r="M133" s="2194"/>
      <c r="N133" s="2193"/>
      <c r="O133" s="2193"/>
    </row>
    <row r="134" spans="1:15" ht="14.25">
      <c r="A134" s="2239"/>
      <c r="B134" s="2237"/>
      <c r="C134" s="2198"/>
      <c r="D134" s="2237"/>
      <c r="E134" s="2239"/>
      <c r="F134" s="2238"/>
      <c r="G134" s="2238"/>
      <c r="H134" s="2238" t="s">
        <v>241</v>
      </c>
      <c r="I134" s="2237"/>
      <c r="J134" s="2236" t="s">
        <v>1451</v>
      </c>
      <c r="K134" s="2235"/>
      <c r="L134" s="2234">
        <f>C133</f>
        <v>0</v>
      </c>
      <c r="M134" s="2194"/>
      <c r="N134" s="2193"/>
      <c r="O134" s="2193"/>
    </row>
    <row r="135" spans="1:15">
      <c r="A135" s="2193"/>
      <c r="B135" s="2193"/>
      <c r="C135" s="2193"/>
      <c r="D135" s="2193"/>
      <c r="E135" s="2193"/>
      <c r="F135" s="2233"/>
      <c r="G135" s="2233"/>
      <c r="H135" s="2233"/>
      <c r="I135" s="2193"/>
      <c r="J135" s="2232"/>
      <c r="K135" s="2231"/>
      <c r="L135" s="2230"/>
      <c r="M135" s="2194"/>
      <c r="N135" s="2193"/>
      <c r="O135" s="2193"/>
    </row>
    <row r="136" spans="1:15">
      <c r="A136" s="2193"/>
      <c r="B136" s="2193"/>
      <c r="C136" s="2193"/>
      <c r="D136" s="2193"/>
      <c r="E136" s="2193"/>
      <c r="F136" s="2233"/>
      <c r="G136" s="2233"/>
      <c r="H136" s="2233"/>
      <c r="I136" s="2193"/>
      <c r="J136" s="2232"/>
      <c r="K136" s="2231"/>
      <c r="L136" s="2230"/>
      <c r="M136" s="2194"/>
      <c r="N136" s="2193"/>
      <c r="O136" s="2193"/>
    </row>
    <row r="137" spans="1:15" ht="18.75">
      <c r="A137" s="2229" t="s">
        <v>1191</v>
      </c>
      <c r="B137" s="2252"/>
      <c r="C137" s="2251"/>
      <c r="D137" s="2228"/>
      <c r="E137" s="2250"/>
      <c r="F137" s="2228"/>
      <c r="G137" s="2228"/>
      <c r="H137" s="2228"/>
      <c r="I137" s="2228"/>
      <c r="J137" s="2228"/>
      <c r="K137" s="2228"/>
      <c r="L137" s="2249"/>
      <c r="M137" s="2194"/>
      <c r="N137" s="2193"/>
      <c r="O137" s="2193"/>
    </row>
    <row r="138" spans="1:15" ht="15.75">
      <c r="A138" s="2248"/>
      <c r="B138" s="2247" t="s">
        <v>1189</v>
      </c>
      <c r="C138" s="2246"/>
      <c r="D138" s="2212"/>
      <c r="E138" s="2214"/>
      <c r="F138" s="2212"/>
      <c r="G138" s="2212"/>
      <c r="H138" s="2212"/>
      <c r="I138" s="2246" t="s">
        <v>243</v>
      </c>
      <c r="J138" s="2245"/>
      <c r="K138" s="2245"/>
      <c r="L138" s="2244"/>
      <c r="M138" s="2194"/>
      <c r="N138" s="2193"/>
      <c r="O138" s="2193"/>
    </row>
    <row r="139" spans="1:15" ht="15.75">
      <c r="A139" s="2214"/>
      <c r="B139" s="2243"/>
      <c r="C139" s="2242">
        <v>0</v>
      </c>
      <c r="D139" s="2241" t="s">
        <v>242</v>
      </c>
      <c r="E139" s="2214"/>
      <c r="F139" s="2212"/>
      <c r="G139" s="2212"/>
      <c r="H139" s="2212"/>
      <c r="I139" s="2212"/>
      <c r="J139" s="2212"/>
      <c r="K139" s="2215"/>
      <c r="L139" s="2240">
        <f>C139</f>
        <v>0</v>
      </c>
      <c r="M139" s="2194"/>
      <c r="N139" s="2193"/>
      <c r="O139" s="2193"/>
    </row>
    <row r="140" spans="1:15" ht="14.25">
      <c r="A140" s="2239"/>
      <c r="B140" s="2237"/>
      <c r="C140" s="2237"/>
      <c r="D140" s="2237"/>
      <c r="E140" s="2239"/>
      <c r="F140" s="2238"/>
      <c r="G140" s="2238"/>
      <c r="H140" s="2238" t="s">
        <v>241</v>
      </c>
      <c r="I140" s="2237"/>
      <c r="J140" s="2236" t="s">
        <v>1451</v>
      </c>
      <c r="K140" s="2235"/>
      <c r="L140" s="2234">
        <f>C139</f>
        <v>0</v>
      </c>
      <c r="M140" s="2194"/>
      <c r="N140" s="2193"/>
      <c r="O140" s="2193"/>
    </row>
    <row r="141" spans="1:15">
      <c r="A141" s="2193"/>
      <c r="B141" s="2193"/>
      <c r="C141" s="2193"/>
      <c r="D141" s="2193"/>
      <c r="E141" s="2193"/>
      <c r="F141" s="2233"/>
      <c r="G141" s="2233"/>
      <c r="H141" s="2233"/>
      <c r="I141" s="2193"/>
      <c r="J141" s="2232"/>
      <c r="K141" s="2231"/>
      <c r="L141" s="2230"/>
      <c r="M141" s="2194"/>
      <c r="N141" s="2193"/>
      <c r="O141" s="2193"/>
    </row>
    <row r="142" spans="1:15">
      <c r="A142" s="2193"/>
      <c r="B142" s="2193"/>
      <c r="C142" s="2193"/>
      <c r="D142" s="2193"/>
      <c r="E142" s="2193"/>
      <c r="F142" s="2233"/>
      <c r="G142" s="2233"/>
      <c r="H142" s="2233"/>
      <c r="I142" s="2193"/>
      <c r="J142" s="2232"/>
      <c r="K142" s="2231"/>
      <c r="L142" s="2230"/>
      <c r="M142" s="2194"/>
      <c r="N142" s="2193"/>
      <c r="O142" s="2193"/>
    </row>
    <row r="143" spans="1:15" ht="15.75">
      <c r="A143" s="2229" t="s">
        <v>240</v>
      </c>
      <c r="B143" s="2228"/>
      <c r="C143" s="2228"/>
      <c r="D143" s="2228"/>
      <c r="E143" s="2227" t="s">
        <v>239</v>
      </c>
      <c r="F143" s="2226"/>
      <c r="G143" s="2226"/>
      <c r="H143" s="2226"/>
      <c r="I143" s="2224"/>
      <c r="J143" s="2225" t="s">
        <v>1451</v>
      </c>
      <c r="K143" s="2224"/>
      <c r="L143" s="2223">
        <f>L78+L90+L98+L114-L128-L134-L140</f>
        <v>40.25833262330454</v>
      </c>
      <c r="M143" s="2194"/>
      <c r="N143" s="2193"/>
      <c r="O143" s="2193"/>
    </row>
    <row r="144" spans="1:15" ht="15.75">
      <c r="A144" s="2222"/>
      <c r="B144" s="2221"/>
      <c r="C144" s="2221"/>
      <c r="D144" s="2221"/>
      <c r="E144" s="2220"/>
      <c r="F144" s="2220"/>
      <c r="G144" s="2220"/>
      <c r="H144" s="2220"/>
      <c r="I144" s="2220"/>
      <c r="J144" s="2220"/>
      <c r="K144" s="2220"/>
      <c r="L144" s="2219"/>
      <c r="M144" s="2194"/>
      <c r="N144" s="2193"/>
      <c r="O144" s="2193"/>
    </row>
    <row r="145" spans="1:15" ht="15.75">
      <c r="A145" s="2214"/>
      <c r="B145" s="2212"/>
      <c r="C145" s="2212"/>
      <c r="D145" s="2217" t="s">
        <v>238</v>
      </c>
      <c r="E145" s="2218">
        <f>E21*C44*C55*C82*C94</f>
        <v>152544.12688334828</v>
      </c>
      <c r="F145" s="2212" t="s">
        <v>1437</v>
      </c>
      <c r="G145" s="2212"/>
      <c r="H145" s="2212"/>
      <c r="I145" s="2212"/>
      <c r="J145" s="2212"/>
      <c r="K145" s="2212"/>
      <c r="L145" s="2211"/>
      <c r="M145" s="2194"/>
      <c r="N145" s="2193"/>
      <c r="O145" s="2193"/>
    </row>
    <row r="146" spans="1:15" ht="15.75">
      <c r="A146" s="2214"/>
      <c r="B146" s="2212"/>
      <c r="C146" s="2212"/>
      <c r="D146" s="2217" t="s">
        <v>237</v>
      </c>
      <c r="E146" s="2216">
        <f>E145/E21</f>
        <v>0.54362598532209838</v>
      </c>
      <c r="F146" s="2212" t="s">
        <v>236</v>
      </c>
      <c r="G146" s="2212"/>
      <c r="H146" s="2212"/>
      <c r="I146" s="2215"/>
      <c r="J146" s="2212"/>
      <c r="K146" s="2212"/>
      <c r="L146" s="2211"/>
      <c r="M146" s="2194"/>
      <c r="N146" s="2193"/>
      <c r="O146" s="2193"/>
    </row>
    <row r="147" spans="1:15">
      <c r="A147" s="2214"/>
      <c r="B147" s="2212"/>
      <c r="C147" s="2212"/>
      <c r="D147" s="2212"/>
      <c r="E147" s="2212"/>
      <c r="F147" s="2213"/>
      <c r="G147" s="2213"/>
      <c r="H147" s="2212"/>
      <c r="I147" s="2215"/>
      <c r="J147" s="2212"/>
      <c r="K147" s="2212"/>
      <c r="L147" s="2211"/>
      <c r="M147" s="2194"/>
      <c r="N147" s="2193"/>
      <c r="O147" s="2193"/>
    </row>
    <row r="148" spans="1:15">
      <c r="A148" s="2214"/>
      <c r="B148" s="2212"/>
      <c r="C148" s="2212"/>
      <c r="D148" s="2212"/>
      <c r="E148" s="2212"/>
      <c r="F148" s="2213"/>
      <c r="G148" s="2213"/>
      <c r="H148" s="2212"/>
      <c r="I148" s="2212"/>
      <c r="J148" s="2212"/>
      <c r="K148" s="2212"/>
      <c r="L148" s="2211"/>
      <c r="M148" s="2194"/>
      <c r="N148" s="2193"/>
      <c r="O148" s="2193"/>
    </row>
    <row r="149" spans="1:15" ht="14.25">
      <c r="A149" s="2203"/>
      <c r="B149" s="2202"/>
      <c r="C149" s="2202"/>
      <c r="D149" s="2202"/>
      <c r="E149" s="2205" t="s">
        <v>235</v>
      </c>
      <c r="F149" s="2210"/>
      <c r="G149" s="2210"/>
      <c r="H149" s="2201"/>
      <c r="I149" s="2201"/>
      <c r="J149" s="2205" t="s">
        <v>1451</v>
      </c>
      <c r="K149" s="2201"/>
      <c r="L149" s="2209">
        <f>L40+L50+L69+L90+L98+L114-L128-L134-L140</f>
        <v>55.843323557680364</v>
      </c>
      <c r="M149" s="2194"/>
      <c r="N149" s="2193"/>
      <c r="O149" s="2193"/>
    </row>
    <row r="150" spans="1:15" ht="14.25">
      <c r="A150" s="2208"/>
      <c r="B150" s="2207"/>
      <c r="C150" s="2206"/>
      <c r="D150" s="2202"/>
      <c r="E150" s="2205" t="s">
        <v>234</v>
      </c>
      <c r="F150" s="2201"/>
      <c r="G150" s="2201"/>
      <c r="H150" s="2201"/>
      <c r="I150" s="2201"/>
      <c r="J150" s="2205" t="s">
        <v>1451</v>
      </c>
      <c r="K150" s="2201"/>
      <c r="L150" s="2204">
        <f>L78+L90+L98+L114-L128-L134-L140</f>
        <v>40.25833262330454</v>
      </c>
      <c r="M150" s="2194"/>
      <c r="N150" s="2193"/>
      <c r="O150" s="2193"/>
    </row>
    <row r="151" spans="1:15">
      <c r="A151" s="2203"/>
      <c r="B151" s="2202"/>
      <c r="C151" s="2202"/>
      <c r="D151" s="2202"/>
      <c r="E151" s="2201"/>
      <c r="F151" s="2201"/>
      <c r="G151" s="2201"/>
      <c r="H151" s="2201"/>
      <c r="I151" s="2201"/>
      <c r="J151" s="2201"/>
      <c r="K151" s="2201"/>
      <c r="L151" s="2200"/>
      <c r="M151" s="2194"/>
      <c r="N151" s="2193"/>
      <c r="O151" s="2193"/>
    </row>
    <row r="152" spans="1:15">
      <c r="A152" s="2199"/>
      <c r="B152" s="2198"/>
      <c r="C152" s="2198"/>
      <c r="D152" s="2198"/>
      <c r="E152" s="2197" t="s">
        <v>233</v>
      </c>
      <c r="F152" s="2196"/>
      <c r="G152" s="2196"/>
      <c r="H152" s="2196"/>
      <c r="I152" s="2196"/>
      <c r="J152" s="2196"/>
      <c r="K152" s="2196"/>
      <c r="L152" s="2195">
        <f>(83.8-L150)/83.8</f>
        <v>0.51959030282452812</v>
      </c>
      <c r="M152" s="2194"/>
      <c r="N152" s="2193"/>
      <c r="O152" s="2193"/>
    </row>
    <row r="153" spans="1:15">
      <c r="M153" s="2183"/>
    </row>
    <row r="154" spans="1:15">
      <c r="E154" s="2185"/>
      <c r="F154" s="2185"/>
      <c r="G154" s="2185"/>
      <c r="H154" s="2192"/>
      <c r="I154" s="2185"/>
      <c r="J154" s="2185"/>
      <c r="K154" s="2185"/>
      <c r="L154" s="2191"/>
      <c r="M154" s="2183"/>
    </row>
    <row r="155" spans="1:15">
      <c r="F155" s="2185"/>
      <c r="G155" s="2185"/>
      <c r="H155" s="2185"/>
      <c r="I155" s="2188"/>
      <c r="J155" s="2185"/>
      <c r="K155" s="2185"/>
      <c r="L155" s="2190"/>
      <c r="M155" s="2186"/>
      <c r="N155" s="2183"/>
    </row>
    <row r="156" spans="1:15">
      <c r="F156" s="2185"/>
      <c r="G156" s="2185"/>
      <c r="H156" s="2185"/>
      <c r="I156" s="2188"/>
      <c r="J156" s="2185"/>
      <c r="K156" s="2185"/>
      <c r="L156" s="2190"/>
      <c r="M156" s="2186"/>
      <c r="N156" s="2183"/>
    </row>
    <row r="157" spans="1:15" ht="15.75">
      <c r="F157" s="2189"/>
      <c r="G157" s="2189"/>
      <c r="H157" s="2185"/>
      <c r="I157" s="2185"/>
      <c r="J157" s="2185"/>
      <c r="K157" s="2185"/>
      <c r="L157" s="2185"/>
      <c r="M157" s="2185"/>
      <c r="N157" s="2183"/>
    </row>
    <row r="158" spans="1:15">
      <c r="F158" s="2185"/>
      <c r="G158" s="2185"/>
      <c r="H158" s="2188"/>
      <c r="I158" s="2185"/>
      <c r="J158" s="2185"/>
      <c r="K158" s="2185"/>
      <c r="L158" s="2185"/>
      <c r="M158" s="2185"/>
      <c r="N158" s="2185"/>
    </row>
    <row r="159" spans="1:15">
      <c r="F159" s="2188"/>
      <c r="G159" s="2188"/>
      <c r="H159" s="2185"/>
      <c r="I159" s="2187"/>
      <c r="J159" s="2185"/>
      <c r="K159" s="2185"/>
      <c r="L159" s="2185"/>
      <c r="M159" s="2185"/>
      <c r="N159" s="2185"/>
    </row>
    <row r="160" spans="1:15">
      <c r="F160" s="2188"/>
      <c r="G160" s="2188"/>
      <c r="H160" s="2185"/>
      <c r="I160" s="2187"/>
      <c r="J160" s="2185"/>
      <c r="K160" s="2185"/>
      <c r="L160" s="2185"/>
      <c r="M160" s="2185"/>
      <c r="N160" s="2185"/>
    </row>
    <row r="161" spans="6:14" s="2183" customFormat="1">
      <c r="F161" s="2185"/>
      <c r="G161" s="2185"/>
      <c r="H161" s="2186"/>
      <c r="I161" s="2185"/>
      <c r="J161" s="2185"/>
      <c r="K161" s="2185"/>
      <c r="L161" s="2185"/>
      <c r="M161" s="2185"/>
      <c r="N161" s="2185"/>
    </row>
    <row r="162" spans="6:14" s="2183" customFormat="1">
      <c r="F162" s="2185"/>
      <c r="G162" s="2185"/>
      <c r="H162" s="2185"/>
      <c r="I162" s="2185"/>
      <c r="J162" s="2185"/>
      <c r="K162" s="2185"/>
      <c r="L162" s="2185"/>
      <c r="M162" s="2185"/>
      <c r="N162" s="2185"/>
    </row>
    <row r="163" spans="6:14" s="2183" customFormat="1">
      <c r="F163" s="2185"/>
      <c r="G163" s="2185"/>
      <c r="H163" s="2185"/>
      <c r="I163" s="2185"/>
      <c r="J163" s="2185"/>
      <c r="K163" s="2185"/>
      <c r="L163" s="2185"/>
      <c r="M163" s="2185"/>
      <c r="N163" s="2185"/>
    </row>
    <row r="164" spans="6:14" s="2183" customFormat="1">
      <c r="F164" s="2185"/>
      <c r="G164" s="2185"/>
      <c r="H164" s="2185"/>
      <c r="I164" s="2185"/>
      <c r="J164" s="2185"/>
      <c r="K164" s="2185"/>
      <c r="L164" s="2185"/>
      <c r="M164" s="2185"/>
      <c r="N164" s="2185"/>
    </row>
    <row r="165" spans="6:14" s="2183" customFormat="1">
      <c r="F165" s="2185"/>
      <c r="G165" s="2185"/>
      <c r="H165" s="2185"/>
      <c r="I165" s="2185"/>
      <c r="J165" s="2185"/>
      <c r="K165" s="2185"/>
      <c r="L165" s="2185"/>
      <c r="M165" s="2185"/>
      <c r="N165" s="2185"/>
    </row>
    <row r="166" spans="6:14" s="2183" customFormat="1">
      <c r="F166" s="2185"/>
      <c r="G166" s="2185"/>
      <c r="H166" s="2185"/>
      <c r="I166" s="2185"/>
      <c r="J166" s="2185"/>
      <c r="K166" s="2185"/>
      <c r="L166" s="2185"/>
      <c r="M166" s="2185"/>
      <c r="N166" s="2185"/>
    </row>
    <row r="167" spans="6:14" s="2183" customFormat="1">
      <c r="F167" s="2185"/>
      <c r="G167" s="2185"/>
      <c r="H167" s="2185"/>
      <c r="I167" s="2185"/>
      <c r="J167" s="2185"/>
      <c r="K167" s="2185"/>
      <c r="L167" s="2185"/>
      <c r="M167" s="2185"/>
      <c r="N167" s="2185"/>
    </row>
    <row r="168" spans="6:14" s="2183" customFormat="1">
      <c r="F168" s="2185"/>
      <c r="G168" s="2185"/>
      <c r="H168" s="2185"/>
      <c r="I168" s="2185"/>
      <c r="J168" s="2185"/>
      <c r="K168" s="2185"/>
      <c r="L168" s="2185"/>
      <c r="M168" s="2185"/>
      <c r="N168" s="2185"/>
    </row>
    <row r="169" spans="6:14" s="2183" customFormat="1">
      <c r="F169" s="2185"/>
      <c r="G169" s="2185"/>
      <c r="H169" s="2185"/>
      <c r="I169" s="2185"/>
      <c r="J169" s="2185"/>
      <c r="K169" s="2185"/>
      <c r="L169" s="2185"/>
      <c r="M169" s="2185"/>
      <c r="N169" s="2185"/>
    </row>
    <row r="170" spans="6:14" s="2183" customFormat="1">
      <c r="F170" s="2185"/>
      <c r="G170" s="2185"/>
      <c r="H170" s="2185"/>
      <c r="I170" s="2185"/>
      <c r="J170" s="2185"/>
      <c r="K170" s="2185"/>
      <c r="L170" s="2185"/>
      <c r="M170" s="2185"/>
      <c r="N170" s="2185"/>
    </row>
    <row r="171" spans="6:14" s="2183" customFormat="1">
      <c r="F171" s="2185"/>
      <c r="G171" s="2185"/>
      <c r="H171" s="2185"/>
      <c r="I171" s="2185"/>
      <c r="J171" s="2185"/>
      <c r="K171" s="2185"/>
      <c r="L171" s="2185"/>
      <c r="M171" s="2185"/>
      <c r="N171" s="2185"/>
    </row>
    <row r="172" spans="6:14" s="2183" customFormat="1">
      <c r="F172" s="2185"/>
      <c r="G172" s="2185"/>
      <c r="H172" s="2185"/>
      <c r="I172" s="2185"/>
      <c r="J172" s="2185"/>
      <c r="K172" s="2185"/>
      <c r="L172" s="2185"/>
      <c r="M172" s="2185"/>
      <c r="N172" s="2185"/>
    </row>
    <row r="173" spans="6:14" s="2183" customFormat="1">
      <c r="F173" s="2185"/>
      <c r="G173" s="2185"/>
      <c r="H173" s="2185"/>
      <c r="I173" s="2185"/>
      <c r="J173" s="2185"/>
      <c r="K173" s="2185"/>
      <c r="L173" s="2185"/>
      <c r="M173" s="2185"/>
      <c r="N173" s="2185"/>
    </row>
  </sheetData>
  <mergeCells count="4">
    <mergeCell ref="F103:L104"/>
    <mergeCell ref="F105:L106"/>
    <mergeCell ref="F119:L120"/>
    <mergeCell ref="F121:L122"/>
  </mergeCells>
  <phoneticPr fontId="184" type="noConversion"/>
  <conditionalFormatting sqref="O17 O9:O10">
    <cfRule type="cellIs" dxfId="20" priority="1" stopIfTrue="1" operator="notBetween">
      <formula>-0.05</formula>
      <formula>0.05</formula>
    </cfRule>
  </conditionalFormatting>
  <dataValidations count="2">
    <dataValidation type="list" allowBlank="1" showInputMessage="1" showErrorMessage="1"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"A,D"</formula1>
    </dataValidation>
    <dataValidation type="list" showDropDown="1" showInputMessage="1" showErrorMessage="1" errorTitle="Wrong input" error="Only values &quot;0&quot; and &quot;-29&quot; are allowed_x000a_" sqref="C111 IY111 SU111 ACQ111 AMM111 AWI111 BGE111 BQA111 BZW111 CJS111 CTO111 DDK111 DNG111 DXC111 EGY111 EQU111 FAQ111 FKM111 FUI111 GEE111 GOA111 GXW111 HHS111 HRO111 IBK111 ILG111 IVC111 JEY111 JOU111 JYQ111 KIM111 KSI111 LCE111 LMA111 LVW111 MFS111 MPO111 MZK111 NJG111 NTC111 OCY111 OMU111 OWQ111 PGM111 PQI111 QAE111 QKA111 QTW111 RDS111 RNO111 RXK111 SHG111 SRC111 TAY111 TKU111 TUQ111 UEM111 UOI111 UYE111 VIA111 VRW111 WBS111 WLO111 WVK111 C65647 IY65647 SU65647 ACQ65647 AMM65647 AWI65647 BGE65647 BQA65647 BZW65647 CJS65647 CTO65647 DDK65647 DNG65647 DXC65647 EGY65647 EQU65647 FAQ65647 FKM65647 FUI65647 GEE65647 GOA65647 GXW65647 HHS65647 HRO65647 IBK65647 ILG65647 IVC65647 JEY65647 JOU65647 JYQ65647 KIM65647 KSI65647 LCE65647 LMA65647 LVW65647 MFS65647 MPO65647 MZK65647 NJG65647 NTC65647 OCY65647 OMU65647 OWQ65647 PGM65647 PQI65647 QAE65647 QKA65647 QTW65647 RDS65647 RNO65647 RXK65647 SHG65647 SRC65647 TAY65647 TKU65647 TUQ65647 UEM65647 UOI65647 UYE65647 VIA65647 VRW65647 WBS65647 WLO65647 WVK65647 C131183 IY131183 SU131183 ACQ131183 AMM131183 AWI131183 BGE131183 BQA131183 BZW131183 CJS131183 CTO131183 DDK131183 DNG131183 DXC131183 EGY131183 EQU131183 FAQ131183 FKM131183 FUI131183 GEE131183 GOA131183 GXW131183 HHS131183 HRO131183 IBK131183 ILG131183 IVC131183 JEY131183 JOU131183 JYQ131183 KIM131183 KSI131183 LCE131183 LMA131183 LVW131183 MFS131183 MPO131183 MZK131183 NJG131183 NTC131183 OCY131183 OMU131183 OWQ131183 PGM131183 PQI131183 QAE131183 QKA131183 QTW131183 RDS131183 RNO131183 RXK131183 SHG131183 SRC131183 TAY131183 TKU131183 TUQ131183 UEM131183 UOI131183 UYE131183 VIA131183 VRW131183 WBS131183 WLO131183 WVK131183 C196719 IY196719 SU196719 ACQ196719 AMM196719 AWI196719 BGE196719 BQA196719 BZW196719 CJS196719 CTO196719 DDK196719 DNG196719 DXC196719 EGY196719 EQU196719 FAQ196719 FKM196719 FUI196719 GEE196719 GOA196719 GXW196719 HHS196719 HRO196719 IBK196719 ILG196719 IVC196719 JEY196719 JOU196719 JYQ196719 KIM196719 KSI196719 LCE196719 LMA196719 LVW196719 MFS196719 MPO196719 MZK196719 NJG196719 NTC196719 OCY196719 OMU196719 OWQ196719 PGM196719 PQI196719 QAE196719 QKA196719 QTW196719 RDS196719 RNO196719 RXK196719 SHG196719 SRC196719 TAY196719 TKU196719 TUQ196719 UEM196719 UOI196719 UYE196719 VIA196719 VRW196719 WBS196719 WLO196719 WVK196719 C262255 IY262255 SU262255 ACQ262255 AMM262255 AWI262255 BGE262255 BQA262255 BZW262255 CJS262255 CTO262255 DDK262255 DNG262255 DXC262255 EGY262255 EQU262255 FAQ262255 FKM262255 FUI262255 GEE262255 GOA262255 GXW262255 HHS262255 HRO262255 IBK262255 ILG262255 IVC262255 JEY262255 JOU262255 JYQ262255 KIM262255 KSI262255 LCE262255 LMA262255 LVW262255 MFS262255 MPO262255 MZK262255 NJG262255 NTC262255 OCY262255 OMU262255 OWQ262255 PGM262255 PQI262255 QAE262255 QKA262255 QTW262255 RDS262255 RNO262255 RXK262255 SHG262255 SRC262255 TAY262255 TKU262255 TUQ262255 UEM262255 UOI262255 UYE262255 VIA262255 VRW262255 WBS262255 WLO262255 WVK262255 C327791 IY327791 SU327791 ACQ327791 AMM327791 AWI327791 BGE327791 BQA327791 BZW327791 CJS327791 CTO327791 DDK327791 DNG327791 DXC327791 EGY327791 EQU327791 FAQ327791 FKM327791 FUI327791 GEE327791 GOA327791 GXW327791 HHS327791 HRO327791 IBK327791 ILG327791 IVC327791 JEY327791 JOU327791 JYQ327791 KIM327791 KSI327791 LCE327791 LMA327791 LVW327791 MFS327791 MPO327791 MZK327791 NJG327791 NTC327791 OCY327791 OMU327791 OWQ327791 PGM327791 PQI327791 QAE327791 QKA327791 QTW327791 RDS327791 RNO327791 RXK327791 SHG327791 SRC327791 TAY327791 TKU327791 TUQ327791 UEM327791 UOI327791 UYE327791 VIA327791 VRW327791 WBS327791 WLO327791 WVK327791 C393327 IY393327 SU393327 ACQ393327 AMM393327 AWI393327 BGE393327 BQA393327 BZW393327 CJS393327 CTO393327 DDK393327 DNG393327 DXC393327 EGY393327 EQU393327 FAQ393327 FKM393327 FUI393327 GEE393327 GOA393327 GXW393327 HHS393327 HRO393327 IBK393327 ILG393327 IVC393327 JEY393327 JOU393327 JYQ393327 KIM393327 KSI393327 LCE393327 LMA393327 LVW393327 MFS393327 MPO393327 MZK393327 NJG393327 NTC393327 OCY393327 OMU393327 OWQ393327 PGM393327 PQI393327 QAE393327 QKA393327 QTW393327 RDS393327 RNO393327 RXK393327 SHG393327 SRC393327 TAY393327 TKU393327 TUQ393327 UEM393327 UOI393327 UYE393327 VIA393327 VRW393327 WBS393327 WLO393327 WVK393327 C458863 IY458863 SU458863 ACQ458863 AMM458863 AWI458863 BGE458863 BQA458863 BZW458863 CJS458863 CTO458863 DDK458863 DNG458863 DXC458863 EGY458863 EQU458863 FAQ458863 FKM458863 FUI458863 GEE458863 GOA458863 GXW458863 HHS458863 HRO458863 IBK458863 ILG458863 IVC458863 JEY458863 JOU458863 JYQ458863 KIM458863 KSI458863 LCE458863 LMA458863 LVW458863 MFS458863 MPO458863 MZK458863 NJG458863 NTC458863 OCY458863 OMU458863 OWQ458863 PGM458863 PQI458863 QAE458863 QKA458863 QTW458863 RDS458863 RNO458863 RXK458863 SHG458863 SRC458863 TAY458863 TKU458863 TUQ458863 UEM458863 UOI458863 UYE458863 VIA458863 VRW458863 WBS458863 WLO458863 WVK458863 C524399 IY524399 SU524399 ACQ524399 AMM524399 AWI524399 BGE524399 BQA524399 BZW524399 CJS524399 CTO524399 DDK524399 DNG524399 DXC524399 EGY524399 EQU524399 FAQ524399 FKM524399 FUI524399 GEE524399 GOA524399 GXW524399 HHS524399 HRO524399 IBK524399 ILG524399 IVC524399 JEY524399 JOU524399 JYQ524399 KIM524399 KSI524399 LCE524399 LMA524399 LVW524399 MFS524399 MPO524399 MZK524399 NJG524399 NTC524399 OCY524399 OMU524399 OWQ524399 PGM524399 PQI524399 QAE524399 QKA524399 QTW524399 RDS524399 RNO524399 RXK524399 SHG524399 SRC524399 TAY524399 TKU524399 TUQ524399 UEM524399 UOI524399 UYE524399 VIA524399 VRW524399 WBS524399 WLO524399 WVK524399 C589935 IY589935 SU589935 ACQ589935 AMM589935 AWI589935 BGE589935 BQA589935 BZW589935 CJS589935 CTO589935 DDK589935 DNG589935 DXC589935 EGY589935 EQU589935 FAQ589935 FKM589935 FUI589935 GEE589935 GOA589935 GXW589935 HHS589935 HRO589935 IBK589935 ILG589935 IVC589935 JEY589935 JOU589935 JYQ589935 KIM589935 KSI589935 LCE589935 LMA589935 LVW589935 MFS589935 MPO589935 MZK589935 NJG589935 NTC589935 OCY589935 OMU589935 OWQ589935 PGM589935 PQI589935 QAE589935 QKA589935 QTW589935 RDS589935 RNO589935 RXK589935 SHG589935 SRC589935 TAY589935 TKU589935 TUQ589935 UEM589935 UOI589935 UYE589935 VIA589935 VRW589935 WBS589935 WLO589935 WVK589935 C655471 IY655471 SU655471 ACQ655471 AMM655471 AWI655471 BGE655471 BQA655471 BZW655471 CJS655471 CTO655471 DDK655471 DNG655471 DXC655471 EGY655471 EQU655471 FAQ655471 FKM655471 FUI655471 GEE655471 GOA655471 GXW655471 HHS655471 HRO655471 IBK655471 ILG655471 IVC655471 JEY655471 JOU655471 JYQ655471 KIM655471 KSI655471 LCE655471 LMA655471 LVW655471 MFS655471 MPO655471 MZK655471 NJG655471 NTC655471 OCY655471 OMU655471 OWQ655471 PGM655471 PQI655471 QAE655471 QKA655471 QTW655471 RDS655471 RNO655471 RXK655471 SHG655471 SRC655471 TAY655471 TKU655471 TUQ655471 UEM655471 UOI655471 UYE655471 VIA655471 VRW655471 WBS655471 WLO655471 WVK655471 C721007 IY721007 SU721007 ACQ721007 AMM721007 AWI721007 BGE721007 BQA721007 BZW721007 CJS721007 CTO721007 DDK721007 DNG721007 DXC721007 EGY721007 EQU721007 FAQ721007 FKM721007 FUI721007 GEE721007 GOA721007 GXW721007 HHS721007 HRO721007 IBK721007 ILG721007 IVC721007 JEY721007 JOU721007 JYQ721007 KIM721007 KSI721007 LCE721007 LMA721007 LVW721007 MFS721007 MPO721007 MZK721007 NJG721007 NTC721007 OCY721007 OMU721007 OWQ721007 PGM721007 PQI721007 QAE721007 QKA721007 QTW721007 RDS721007 RNO721007 RXK721007 SHG721007 SRC721007 TAY721007 TKU721007 TUQ721007 UEM721007 UOI721007 UYE721007 VIA721007 VRW721007 WBS721007 WLO721007 WVK721007 C786543 IY786543 SU786543 ACQ786543 AMM786543 AWI786543 BGE786543 BQA786543 BZW786543 CJS786543 CTO786543 DDK786543 DNG786543 DXC786543 EGY786543 EQU786543 FAQ786543 FKM786543 FUI786543 GEE786543 GOA786543 GXW786543 HHS786543 HRO786543 IBK786543 ILG786543 IVC786543 JEY786543 JOU786543 JYQ786543 KIM786543 KSI786543 LCE786543 LMA786543 LVW786543 MFS786543 MPO786543 MZK786543 NJG786543 NTC786543 OCY786543 OMU786543 OWQ786543 PGM786543 PQI786543 QAE786543 QKA786543 QTW786543 RDS786543 RNO786543 RXK786543 SHG786543 SRC786543 TAY786543 TKU786543 TUQ786543 UEM786543 UOI786543 UYE786543 VIA786543 VRW786543 WBS786543 WLO786543 WVK786543 C852079 IY852079 SU852079 ACQ852079 AMM852079 AWI852079 BGE852079 BQA852079 BZW852079 CJS852079 CTO852079 DDK852079 DNG852079 DXC852079 EGY852079 EQU852079 FAQ852079 FKM852079 FUI852079 GEE852079 GOA852079 GXW852079 HHS852079 HRO852079 IBK852079 ILG852079 IVC852079 JEY852079 JOU852079 JYQ852079 KIM852079 KSI852079 LCE852079 LMA852079 LVW852079 MFS852079 MPO852079 MZK852079 NJG852079 NTC852079 OCY852079 OMU852079 OWQ852079 PGM852079 PQI852079 QAE852079 QKA852079 QTW852079 RDS852079 RNO852079 RXK852079 SHG852079 SRC852079 TAY852079 TKU852079 TUQ852079 UEM852079 UOI852079 UYE852079 VIA852079 VRW852079 WBS852079 WLO852079 WVK852079 C917615 IY917615 SU917615 ACQ917615 AMM917615 AWI917615 BGE917615 BQA917615 BZW917615 CJS917615 CTO917615 DDK917615 DNG917615 DXC917615 EGY917615 EQU917615 FAQ917615 FKM917615 FUI917615 GEE917615 GOA917615 GXW917615 HHS917615 HRO917615 IBK917615 ILG917615 IVC917615 JEY917615 JOU917615 JYQ917615 KIM917615 KSI917615 LCE917615 LMA917615 LVW917615 MFS917615 MPO917615 MZK917615 NJG917615 NTC917615 OCY917615 OMU917615 OWQ917615 PGM917615 PQI917615 QAE917615 QKA917615 QTW917615 RDS917615 RNO917615 RXK917615 SHG917615 SRC917615 TAY917615 TKU917615 TUQ917615 UEM917615 UOI917615 UYE917615 VIA917615 VRW917615 WBS917615 WLO917615 WVK917615 C983151 IY983151 SU983151 ACQ983151 AMM983151 AWI983151 BGE983151 BQA983151 BZW983151 CJS983151 CTO983151 DDK983151 DNG983151 DXC983151 EGY983151 EQU983151 FAQ983151 FKM983151 FUI983151 GEE983151 GOA983151 GXW983151 HHS983151 HRO983151 IBK983151 ILG983151 IVC983151 JEY983151 JOU983151 JYQ983151 KIM983151 KSI983151 LCE983151 LMA983151 LVW983151 MFS983151 MPO983151 MZK983151 NJG983151 NTC983151 OCY983151 OMU983151 OWQ983151 PGM983151 PQI983151 QAE983151 QKA983151 QTW983151 RDS983151 RNO983151 RXK983151 SHG983151 SRC983151 TAY983151 TKU983151 TUQ983151 UEM983151 UOI983151 UYE983151 VIA983151 VRW983151 WBS983151 WLO983151 WVK983151">
      <formula1>"0,-29"</formula1>
    </dataValidation>
  </dataValidations>
  <hyperlinks>
    <hyperlink ref="C106" location="LUC!A1" display="LUC!A1"/>
    <hyperlink ref="C122" location="Esca!A1" display="Esca!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sheetPr codeName="Лист8"/>
  <dimension ref="A1:O389"/>
  <sheetViews>
    <sheetView zoomScale="85" zoomScaleNormal="85" workbookViewId="0">
      <selection activeCell="M51" sqref="M51"/>
    </sheetView>
  </sheetViews>
  <sheetFormatPr defaultColWidth="8.85546875" defaultRowHeight="12.75"/>
  <cols>
    <col min="1" max="1" width="22" style="2098" customWidth="1"/>
    <col min="2" max="2" width="28.28515625" style="2098" customWidth="1"/>
    <col min="3" max="3" width="11" style="2098" customWidth="1"/>
    <col min="4" max="4" width="21.42578125" style="2098" customWidth="1"/>
    <col min="5" max="5" width="12" style="2098" customWidth="1"/>
    <col min="6" max="6" width="11.42578125" style="2098" customWidth="1"/>
    <col min="7" max="7" width="19.42578125" style="2098" customWidth="1"/>
    <col min="8" max="8" width="9.140625" style="2098" customWidth="1"/>
    <col min="9" max="9" width="7.85546875" style="2098" customWidth="1"/>
    <col min="10" max="10" width="12.140625" style="2098" customWidth="1"/>
    <col min="11" max="11" width="16.42578125" style="2098" customWidth="1"/>
    <col min="12" max="12" width="21.85546875" style="2098" customWidth="1"/>
    <col min="13" max="13" width="16.7109375" style="2098" customWidth="1"/>
    <col min="14" max="14" width="14.7109375" style="2098" customWidth="1"/>
    <col min="15" max="256" width="8.85546875" style="2097"/>
    <col min="257" max="257" width="22.42578125" style="2097" customWidth="1"/>
    <col min="258" max="258" width="25.85546875" style="2097" customWidth="1"/>
    <col min="259" max="259" width="11" style="2097" customWidth="1"/>
    <col min="260" max="260" width="20.140625" style="2097" customWidth="1"/>
    <col min="261" max="261" width="12" style="2097" customWidth="1"/>
    <col min="262" max="262" width="11.42578125" style="2097" customWidth="1"/>
    <col min="263" max="263" width="19.42578125" style="2097" customWidth="1"/>
    <col min="264" max="264" width="9.140625" style="2097" customWidth="1"/>
    <col min="265" max="265" width="7.85546875" style="2097" customWidth="1"/>
    <col min="266" max="266" width="12.140625" style="2097" customWidth="1"/>
    <col min="267" max="267" width="16.42578125" style="2097" customWidth="1"/>
    <col min="268" max="268" width="19.7109375" style="2097" customWidth="1"/>
    <col min="269" max="269" width="16.7109375" style="2097" customWidth="1"/>
    <col min="270" max="270" width="13.7109375" style="2097" customWidth="1"/>
    <col min="271" max="512" width="8.85546875" style="2097"/>
    <col min="513" max="513" width="22.42578125" style="2097" customWidth="1"/>
    <col min="514" max="514" width="25.85546875" style="2097" customWidth="1"/>
    <col min="515" max="515" width="11" style="2097" customWidth="1"/>
    <col min="516" max="516" width="20.140625" style="2097" customWidth="1"/>
    <col min="517" max="517" width="12" style="2097" customWidth="1"/>
    <col min="518" max="518" width="11.42578125" style="2097" customWidth="1"/>
    <col min="519" max="519" width="19.42578125" style="2097" customWidth="1"/>
    <col min="520" max="520" width="9.140625" style="2097" customWidth="1"/>
    <col min="521" max="521" width="7.85546875" style="2097" customWidth="1"/>
    <col min="522" max="522" width="12.140625" style="2097" customWidth="1"/>
    <col min="523" max="523" width="16.42578125" style="2097" customWidth="1"/>
    <col min="524" max="524" width="19.7109375" style="2097" customWidth="1"/>
    <col min="525" max="525" width="16.7109375" style="2097" customWidth="1"/>
    <col min="526" max="526" width="13.7109375" style="2097" customWidth="1"/>
    <col min="527" max="768" width="8.85546875" style="2097"/>
    <col min="769" max="769" width="22.42578125" style="2097" customWidth="1"/>
    <col min="770" max="770" width="25.85546875" style="2097" customWidth="1"/>
    <col min="771" max="771" width="11" style="2097" customWidth="1"/>
    <col min="772" max="772" width="20.140625" style="2097" customWidth="1"/>
    <col min="773" max="773" width="12" style="2097" customWidth="1"/>
    <col min="774" max="774" width="11.42578125" style="2097" customWidth="1"/>
    <col min="775" max="775" width="19.42578125" style="2097" customWidth="1"/>
    <col min="776" max="776" width="9.140625" style="2097" customWidth="1"/>
    <col min="777" max="777" width="7.85546875" style="2097" customWidth="1"/>
    <col min="778" max="778" width="12.140625" style="2097" customWidth="1"/>
    <col min="779" max="779" width="16.42578125" style="2097" customWidth="1"/>
    <col min="780" max="780" width="19.7109375" style="2097" customWidth="1"/>
    <col min="781" max="781" width="16.7109375" style="2097" customWidth="1"/>
    <col min="782" max="782" width="13.7109375" style="2097" customWidth="1"/>
    <col min="783" max="1024" width="8.85546875" style="2097"/>
    <col min="1025" max="1025" width="22.42578125" style="2097" customWidth="1"/>
    <col min="1026" max="1026" width="25.85546875" style="2097" customWidth="1"/>
    <col min="1027" max="1027" width="11" style="2097" customWidth="1"/>
    <col min="1028" max="1028" width="20.140625" style="2097" customWidth="1"/>
    <col min="1029" max="1029" width="12" style="2097" customWidth="1"/>
    <col min="1030" max="1030" width="11.42578125" style="2097" customWidth="1"/>
    <col min="1031" max="1031" width="19.42578125" style="2097" customWidth="1"/>
    <col min="1032" max="1032" width="9.140625" style="2097" customWidth="1"/>
    <col min="1033" max="1033" width="7.85546875" style="2097" customWidth="1"/>
    <col min="1034" max="1034" width="12.140625" style="2097" customWidth="1"/>
    <col min="1035" max="1035" width="16.42578125" style="2097" customWidth="1"/>
    <col min="1036" max="1036" width="19.7109375" style="2097" customWidth="1"/>
    <col min="1037" max="1037" width="16.7109375" style="2097" customWidth="1"/>
    <col min="1038" max="1038" width="13.7109375" style="2097" customWidth="1"/>
    <col min="1039" max="1280" width="8.85546875" style="2097"/>
    <col min="1281" max="1281" width="22.42578125" style="2097" customWidth="1"/>
    <col min="1282" max="1282" width="25.85546875" style="2097" customWidth="1"/>
    <col min="1283" max="1283" width="11" style="2097" customWidth="1"/>
    <col min="1284" max="1284" width="20.140625" style="2097" customWidth="1"/>
    <col min="1285" max="1285" width="12" style="2097" customWidth="1"/>
    <col min="1286" max="1286" width="11.42578125" style="2097" customWidth="1"/>
    <col min="1287" max="1287" width="19.42578125" style="2097" customWidth="1"/>
    <col min="1288" max="1288" width="9.140625" style="2097" customWidth="1"/>
    <col min="1289" max="1289" width="7.85546875" style="2097" customWidth="1"/>
    <col min="1290" max="1290" width="12.140625" style="2097" customWidth="1"/>
    <col min="1291" max="1291" width="16.42578125" style="2097" customWidth="1"/>
    <col min="1292" max="1292" width="19.7109375" style="2097" customWidth="1"/>
    <col min="1293" max="1293" width="16.7109375" style="2097" customWidth="1"/>
    <col min="1294" max="1294" width="13.7109375" style="2097" customWidth="1"/>
    <col min="1295" max="1536" width="8.85546875" style="2097"/>
    <col min="1537" max="1537" width="22.42578125" style="2097" customWidth="1"/>
    <col min="1538" max="1538" width="25.85546875" style="2097" customWidth="1"/>
    <col min="1539" max="1539" width="11" style="2097" customWidth="1"/>
    <col min="1540" max="1540" width="20.140625" style="2097" customWidth="1"/>
    <col min="1541" max="1541" width="12" style="2097" customWidth="1"/>
    <col min="1542" max="1542" width="11.42578125" style="2097" customWidth="1"/>
    <col min="1543" max="1543" width="19.42578125" style="2097" customWidth="1"/>
    <col min="1544" max="1544" width="9.140625" style="2097" customWidth="1"/>
    <col min="1545" max="1545" width="7.85546875" style="2097" customWidth="1"/>
    <col min="1546" max="1546" width="12.140625" style="2097" customWidth="1"/>
    <col min="1547" max="1547" width="16.42578125" style="2097" customWidth="1"/>
    <col min="1548" max="1548" width="19.7109375" style="2097" customWidth="1"/>
    <col min="1549" max="1549" width="16.7109375" style="2097" customWidth="1"/>
    <col min="1550" max="1550" width="13.7109375" style="2097" customWidth="1"/>
    <col min="1551" max="1792" width="8.85546875" style="2097"/>
    <col min="1793" max="1793" width="22.42578125" style="2097" customWidth="1"/>
    <col min="1794" max="1794" width="25.85546875" style="2097" customWidth="1"/>
    <col min="1795" max="1795" width="11" style="2097" customWidth="1"/>
    <col min="1796" max="1796" width="20.140625" style="2097" customWidth="1"/>
    <col min="1797" max="1797" width="12" style="2097" customWidth="1"/>
    <col min="1798" max="1798" width="11.42578125" style="2097" customWidth="1"/>
    <col min="1799" max="1799" width="19.42578125" style="2097" customWidth="1"/>
    <col min="1800" max="1800" width="9.140625" style="2097" customWidth="1"/>
    <col min="1801" max="1801" width="7.85546875" style="2097" customWidth="1"/>
    <col min="1802" max="1802" width="12.140625" style="2097" customWidth="1"/>
    <col min="1803" max="1803" width="16.42578125" style="2097" customWidth="1"/>
    <col min="1804" max="1804" width="19.7109375" style="2097" customWidth="1"/>
    <col min="1805" max="1805" width="16.7109375" style="2097" customWidth="1"/>
    <col min="1806" max="1806" width="13.7109375" style="2097" customWidth="1"/>
    <col min="1807" max="2048" width="8.85546875" style="2097"/>
    <col min="2049" max="2049" width="22.42578125" style="2097" customWidth="1"/>
    <col min="2050" max="2050" width="25.85546875" style="2097" customWidth="1"/>
    <col min="2051" max="2051" width="11" style="2097" customWidth="1"/>
    <col min="2052" max="2052" width="20.140625" style="2097" customWidth="1"/>
    <col min="2053" max="2053" width="12" style="2097" customWidth="1"/>
    <col min="2054" max="2054" width="11.42578125" style="2097" customWidth="1"/>
    <col min="2055" max="2055" width="19.42578125" style="2097" customWidth="1"/>
    <col min="2056" max="2056" width="9.140625" style="2097" customWidth="1"/>
    <col min="2057" max="2057" width="7.85546875" style="2097" customWidth="1"/>
    <col min="2058" max="2058" width="12.140625" style="2097" customWidth="1"/>
    <col min="2059" max="2059" width="16.42578125" style="2097" customWidth="1"/>
    <col min="2060" max="2060" width="19.7109375" style="2097" customWidth="1"/>
    <col min="2061" max="2061" width="16.7109375" style="2097" customWidth="1"/>
    <col min="2062" max="2062" width="13.7109375" style="2097" customWidth="1"/>
    <col min="2063" max="2304" width="8.85546875" style="2097"/>
    <col min="2305" max="2305" width="22.42578125" style="2097" customWidth="1"/>
    <col min="2306" max="2306" width="25.85546875" style="2097" customWidth="1"/>
    <col min="2307" max="2307" width="11" style="2097" customWidth="1"/>
    <col min="2308" max="2308" width="20.140625" style="2097" customWidth="1"/>
    <col min="2309" max="2309" width="12" style="2097" customWidth="1"/>
    <col min="2310" max="2310" width="11.42578125" style="2097" customWidth="1"/>
    <col min="2311" max="2311" width="19.42578125" style="2097" customWidth="1"/>
    <col min="2312" max="2312" width="9.140625" style="2097" customWidth="1"/>
    <col min="2313" max="2313" width="7.85546875" style="2097" customWidth="1"/>
    <col min="2314" max="2314" width="12.140625" style="2097" customWidth="1"/>
    <col min="2315" max="2315" width="16.42578125" style="2097" customWidth="1"/>
    <col min="2316" max="2316" width="19.7109375" style="2097" customWidth="1"/>
    <col min="2317" max="2317" width="16.7109375" style="2097" customWidth="1"/>
    <col min="2318" max="2318" width="13.7109375" style="2097" customWidth="1"/>
    <col min="2319" max="2560" width="8.85546875" style="2097"/>
    <col min="2561" max="2561" width="22.42578125" style="2097" customWidth="1"/>
    <col min="2562" max="2562" width="25.85546875" style="2097" customWidth="1"/>
    <col min="2563" max="2563" width="11" style="2097" customWidth="1"/>
    <col min="2564" max="2564" width="20.140625" style="2097" customWidth="1"/>
    <col min="2565" max="2565" width="12" style="2097" customWidth="1"/>
    <col min="2566" max="2566" width="11.42578125" style="2097" customWidth="1"/>
    <col min="2567" max="2567" width="19.42578125" style="2097" customWidth="1"/>
    <col min="2568" max="2568" width="9.140625" style="2097" customWidth="1"/>
    <col min="2569" max="2569" width="7.85546875" style="2097" customWidth="1"/>
    <col min="2570" max="2570" width="12.140625" style="2097" customWidth="1"/>
    <col min="2571" max="2571" width="16.42578125" style="2097" customWidth="1"/>
    <col min="2572" max="2572" width="19.7109375" style="2097" customWidth="1"/>
    <col min="2573" max="2573" width="16.7109375" style="2097" customWidth="1"/>
    <col min="2574" max="2574" width="13.7109375" style="2097" customWidth="1"/>
    <col min="2575" max="2816" width="8.85546875" style="2097"/>
    <col min="2817" max="2817" width="22.42578125" style="2097" customWidth="1"/>
    <col min="2818" max="2818" width="25.85546875" style="2097" customWidth="1"/>
    <col min="2819" max="2819" width="11" style="2097" customWidth="1"/>
    <col min="2820" max="2820" width="20.140625" style="2097" customWidth="1"/>
    <col min="2821" max="2821" width="12" style="2097" customWidth="1"/>
    <col min="2822" max="2822" width="11.42578125" style="2097" customWidth="1"/>
    <col min="2823" max="2823" width="19.42578125" style="2097" customWidth="1"/>
    <col min="2824" max="2824" width="9.140625" style="2097" customWidth="1"/>
    <col min="2825" max="2825" width="7.85546875" style="2097" customWidth="1"/>
    <col min="2826" max="2826" width="12.140625" style="2097" customWidth="1"/>
    <col min="2827" max="2827" width="16.42578125" style="2097" customWidth="1"/>
    <col min="2828" max="2828" width="19.7109375" style="2097" customWidth="1"/>
    <col min="2829" max="2829" width="16.7109375" style="2097" customWidth="1"/>
    <col min="2830" max="2830" width="13.7109375" style="2097" customWidth="1"/>
    <col min="2831" max="3072" width="8.85546875" style="2097"/>
    <col min="3073" max="3073" width="22.42578125" style="2097" customWidth="1"/>
    <col min="3074" max="3074" width="25.85546875" style="2097" customWidth="1"/>
    <col min="3075" max="3075" width="11" style="2097" customWidth="1"/>
    <col min="3076" max="3076" width="20.140625" style="2097" customWidth="1"/>
    <col min="3077" max="3077" width="12" style="2097" customWidth="1"/>
    <col min="3078" max="3078" width="11.42578125" style="2097" customWidth="1"/>
    <col min="3079" max="3079" width="19.42578125" style="2097" customWidth="1"/>
    <col min="3080" max="3080" width="9.140625" style="2097" customWidth="1"/>
    <col min="3081" max="3081" width="7.85546875" style="2097" customWidth="1"/>
    <col min="3082" max="3082" width="12.140625" style="2097" customWidth="1"/>
    <col min="3083" max="3083" width="16.42578125" style="2097" customWidth="1"/>
    <col min="3084" max="3084" width="19.7109375" style="2097" customWidth="1"/>
    <col min="3085" max="3085" width="16.7109375" style="2097" customWidth="1"/>
    <col min="3086" max="3086" width="13.7109375" style="2097" customWidth="1"/>
    <col min="3087" max="3328" width="8.85546875" style="2097"/>
    <col min="3329" max="3329" width="22.42578125" style="2097" customWidth="1"/>
    <col min="3330" max="3330" width="25.85546875" style="2097" customWidth="1"/>
    <col min="3331" max="3331" width="11" style="2097" customWidth="1"/>
    <col min="3332" max="3332" width="20.140625" style="2097" customWidth="1"/>
    <col min="3333" max="3333" width="12" style="2097" customWidth="1"/>
    <col min="3334" max="3334" width="11.42578125" style="2097" customWidth="1"/>
    <col min="3335" max="3335" width="19.42578125" style="2097" customWidth="1"/>
    <col min="3336" max="3336" width="9.140625" style="2097" customWidth="1"/>
    <col min="3337" max="3337" width="7.85546875" style="2097" customWidth="1"/>
    <col min="3338" max="3338" width="12.140625" style="2097" customWidth="1"/>
    <col min="3339" max="3339" width="16.42578125" style="2097" customWidth="1"/>
    <col min="3340" max="3340" width="19.7109375" style="2097" customWidth="1"/>
    <col min="3341" max="3341" width="16.7109375" style="2097" customWidth="1"/>
    <col min="3342" max="3342" width="13.7109375" style="2097" customWidth="1"/>
    <col min="3343" max="3584" width="8.85546875" style="2097"/>
    <col min="3585" max="3585" width="22.42578125" style="2097" customWidth="1"/>
    <col min="3586" max="3586" width="25.85546875" style="2097" customWidth="1"/>
    <col min="3587" max="3587" width="11" style="2097" customWidth="1"/>
    <col min="3588" max="3588" width="20.140625" style="2097" customWidth="1"/>
    <col min="3589" max="3589" width="12" style="2097" customWidth="1"/>
    <col min="3590" max="3590" width="11.42578125" style="2097" customWidth="1"/>
    <col min="3591" max="3591" width="19.42578125" style="2097" customWidth="1"/>
    <col min="3592" max="3592" width="9.140625" style="2097" customWidth="1"/>
    <col min="3593" max="3593" width="7.85546875" style="2097" customWidth="1"/>
    <col min="3594" max="3594" width="12.140625" style="2097" customWidth="1"/>
    <col min="3595" max="3595" width="16.42578125" style="2097" customWidth="1"/>
    <col min="3596" max="3596" width="19.7109375" style="2097" customWidth="1"/>
    <col min="3597" max="3597" width="16.7109375" style="2097" customWidth="1"/>
    <col min="3598" max="3598" width="13.7109375" style="2097" customWidth="1"/>
    <col min="3599" max="3840" width="8.85546875" style="2097"/>
    <col min="3841" max="3841" width="22.42578125" style="2097" customWidth="1"/>
    <col min="3842" max="3842" width="25.85546875" style="2097" customWidth="1"/>
    <col min="3843" max="3843" width="11" style="2097" customWidth="1"/>
    <col min="3844" max="3844" width="20.140625" style="2097" customWidth="1"/>
    <col min="3845" max="3845" width="12" style="2097" customWidth="1"/>
    <col min="3846" max="3846" width="11.42578125" style="2097" customWidth="1"/>
    <col min="3847" max="3847" width="19.42578125" style="2097" customWidth="1"/>
    <col min="3848" max="3848" width="9.140625" style="2097" customWidth="1"/>
    <col min="3849" max="3849" width="7.85546875" style="2097" customWidth="1"/>
    <col min="3850" max="3850" width="12.140625" style="2097" customWidth="1"/>
    <col min="3851" max="3851" width="16.42578125" style="2097" customWidth="1"/>
    <col min="3852" max="3852" width="19.7109375" style="2097" customWidth="1"/>
    <col min="3853" max="3853" width="16.7109375" style="2097" customWidth="1"/>
    <col min="3854" max="3854" width="13.7109375" style="2097" customWidth="1"/>
    <col min="3855" max="4096" width="8.85546875" style="2097"/>
    <col min="4097" max="4097" width="22.42578125" style="2097" customWidth="1"/>
    <col min="4098" max="4098" width="25.85546875" style="2097" customWidth="1"/>
    <col min="4099" max="4099" width="11" style="2097" customWidth="1"/>
    <col min="4100" max="4100" width="20.140625" style="2097" customWidth="1"/>
    <col min="4101" max="4101" width="12" style="2097" customWidth="1"/>
    <col min="4102" max="4102" width="11.42578125" style="2097" customWidth="1"/>
    <col min="4103" max="4103" width="19.42578125" style="2097" customWidth="1"/>
    <col min="4104" max="4104" width="9.140625" style="2097" customWidth="1"/>
    <col min="4105" max="4105" width="7.85546875" style="2097" customWidth="1"/>
    <col min="4106" max="4106" width="12.140625" style="2097" customWidth="1"/>
    <col min="4107" max="4107" width="16.42578125" style="2097" customWidth="1"/>
    <col min="4108" max="4108" width="19.7109375" style="2097" customWidth="1"/>
    <col min="4109" max="4109" width="16.7109375" style="2097" customWidth="1"/>
    <col min="4110" max="4110" width="13.7109375" style="2097" customWidth="1"/>
    <col min="4111" max="4352" width="8.85546875" style="2097"/>
    <col min="4353" max="4353" width="22.42578125" style="2097" customWidth="1"/>
    <col min="4354" max="4354" width="25.85546875" style="2097" customWidth="1"/>
    <col min="4355" max="4355" width="11" style="2097" customWidth="1"/>
    <col min="4356" max="4356" width="20.140625" style="2097" customWidth="1"/>
    <col min="4357" max="4357" width="12" style="2097" customWidth="1"/>
    <col min="4358" max="4358" width="11.42578125" style="2097" customWidth="1"/>
    <col min="4359" max="4359" width="19.42578125" style="2097" customWidth="1"/>
    <col min="4360" max="4360" width="9.140625" style="2097" customWidth="1"/>
    <col min="4361" max="4361" width="7.85546875" style="2097" customWidth="1"/>
    <col min="4362" max="4362" width="12.140625" style="2097" customWidth="1"/>
    <col min="4363" max="4363" width="16.42578125" style="2097" customWidth="1"/>
    <col min="4364" max="4364" width="19.7109375" style="2097" customWidth="1"/>
    <col min="4365" max="4365" width="16.7109375" style="2097" customWidth="1"/>
    <col min="4366" max="4366" width="13.7109375" style="2097" customWidth="1"/>
    <col min="4367" max="4608" width="8.85546875" style="2097"/>
    <col min="4609" max="4609" width="22.42578125" style="2097" customWidth="1"/>
    <col min="4610" max="4610" width="25.85546875" style="2097" customWidth="1"/>
    <col min="4611" max="4611" width="11" style="2097" customWidth="1"/>
    <col min="4612" max="4612" width="20.140625" style="2097" customWidth="1"/>
    <col min="4613" max="4613" width="12" style="2097" customWidth="1"/>
    <col min="4614" max="4614" width="11.42578125" style="2097" customWidth="1"/>
    <col min="4615" max="4615" width="19.42578125" style="2097" customWidth="1"/>
    <col min="4616" max="4616" width="9.140625" style="2097" customWidth="1"/>
    <col min="4617" max="4617" width="7.85546875" style="2097" customWidth="1"/>
    <col min="4618" max="4618" width="12.140625" style="2097" customWidth="1"/>
    <col min="4619" max="4619" width="16.42578125" style="2097" customWidth="1"/>
    <col min="4620" max="4620" width="19.7109375" style="2097" customWidth="1"/>
    <col min="4621" max="4621" width="16.7109375" style="2097" customWidth="1"/>
    <col min="4622" max="4622" width="13.7109375" style="2097" customWidth="1"/>
    <col min="4623" max="4864" width="8.85546875" style="2097"/>
    <col min="4865" max="4865" width="22.42578125" style="2097" customWidth="1"/>
    <col min="4866" max="4866" width="25.85546875" style="2097" customWidth="1"/>
    <col min="4867" max="4867" width="11" style="2097" customWidth="1"/>
    <col min="4868" max="4868" width="20.140625" style="2097" customWidth="1"/>
    <col min="4869" max="4869" width="12" style="2097" customWidth="1"/>
    <col min="4870" max="4870" width="11.42578125" style="2097" customWidth="1"/>
    <col min="4871" max="4871" width="19.42578125" style="2097" customWidth="1"/>
    <col min="4872" max="4872" width="9.140625" style="2097" customWidth="1"/>
    <col min="4873" max="4873" width="7.85546875" style="2097" customWidth="1"/>
    <col min="4874" max="4874" width="12.140625" style="2097" customWidth="1"/>
    <col min="4875" max="4875" width="16.42578125" style="2097" customWidth="1"/>
    <col min="4876" max="4876" width="19.7109375" style="2097" customWidth="1"/>
    <col min="4877" max="4877" width="16.7109375" style="2097" customWidth="1"/>
    <col min="4878" max="4878" width="13.7109375" style="2097" customWidth="1"/>
    <col min="4879" max="5120" width="8.85546875" style="2097"/>
    <col min="5121" max="5121" width="22.42578125" style="2097" customWidth="1"/>
    <col min="5122" max="5122" width="25.85546875" style="2097" customWidth="1"/>
    <col min="5123" max="5123" width="11" style="2097" customWidth="1"/>
    <col min="5124" max="5124" width="20.140625" style="2097" customWidth="1"/>
    <col min="5125" max="5125" width="12" style="2097" customWidth="1"/>
    <col min="5126" max="5126" width="11.42578125" style="2097" customWidth="1"/>
    <col min="5127" max="5127" width="19.42578125" style="2097" customWidth="1"/>
    <col min="5128" max="5128" width="9.140625" style="2097" customWidth="1"/>
    <col min="5129" max="5129" width="7.85546875" style="2097" customWidth="1"/>
    <col min="5130" max="5130" width="12.140625" style="2097" customWidth="1"/>
    <col min="5131" max="5131" width="16.42578125" style="2097" customWidth="1"/>
    <col min="5132" max="5132" width="19.7109375" style="2097" customWidth="1"/>
    <col min="5133" max="5133" width="16.7109375" style="2097" customWidth="1"/>
    <col min="5134" max="5134" width="13.7109375" style="2097" customWidth="1"/>
    <col min="5135" max="5376" width="8.85546875" style="2097"/>
    <col min="5377" max="5377" width="22.42578125" style="2097" customWidth="1"/>
    <col min="5378" max="5378" width="25.85546875" style="2097" customWidth="1"/>
    <col min="5379" max="5379" width="11" style="2097" customWidth="1"/>
    <col min="5380" max="5380" width="20.140625" style="2097" customWidth="1"/>
    <col min="5381" max="5381" width="12" style="2097" customWidth="1"/>
    <col min="5382" max="5382" width="11.42578125" style="2097" customWidth="1"/>
    <col min="5383" max="5383" width="19.42578125" style="2097" customWidth="1"/>
    <col min="5384" max="5384" width="9.140625" style="2097" customWidth="1"/>
    <col min="5385" max="5385" width="7.85546875" style="2097" customWidth="1"/>
    <col min="5386" max="5386" width="12.140625" style="2097" customWidth="1"/>
    <col min="5387" max="5387" width="16.42578125" style="2097" customWidth="1"/>
    <col min="5388" max="5388" width="19.7109375" style="2097" customWidth="1"/>
    <col min="5389" max="5389" width="16.7109375" style="2097" customWidth="1"/>
    <col min="5390" max="5390" width="13.7109375" style="2097" customWidth="1"/>
    <col min="5391" max="5632" width="8.85546875" style="2097"/>
    <col min="5633" max="5633" width="22.42578125" style="2097" customWidth="1"/>
    <col min="5634" max="5634" width="25.85546875" style="2097" customWidth="1"/>
    <col min="5635" max="5635" width="11" style="2097" customWidth="1"/>
    <col min="5636" max="5636" width="20.140625" style="2097" customWidth="1"/>
    <col min="5637" max="5637" width="12" style="2097" customWidth="1"/>
    <col min="5638" max="5638" width="11.42578125" style="2097" customWidth="1"/>
    <col min="5639" max="5639" width="19.42578125" style="2097" customWidth="1"/>
    <col min="5640" max="5640" width="9.140625" style="2097" customWidth="1"/>
    <col min="5641" max="5641" width="7.85546875" style="2097" customWidth="1"/>
    <col min="5642" max="5642" width="12.140625" style="2097" customWidth="1"/>
    <col min="5643" max="5643" width="16.42578125" style="2097" customWidth="1"/>
    <col min="5644" max="5644" width="19.7109375" style="2097" customWidth="1"/>
    <col min="5645" max="5645" width="16.7109375" style="2097" customWidth="1"/>
    <col min="5646" max="5646" width="13.7109375" style="2097" customWidth="1"/>
    <col min="5647" max="5888" width="8.85546875" style="2097"/>
    <col min="5889" max="5889" width="22.42578125" style="2097" customWidth="1"/>
    <col min="5890" max="5890" width="25.85546875" style="2097" customWidth="1"/>
    <col min="5891" max="5891" width="11" style="2097" customWidth="1"/>
    <col min="5892" max="5892" width="20.140625" style="2097" customWidth="1"/>
    <col min="5893" max="5893" width="12" style="2097" customWidth="1"/>
    <col min="5894" max="5894" width="11.42578125" style="2097" customWidth="1"/>
    <col min="5895" max="5895" width="19.42578125" style="2097" customWidth="1"/>
    <col min="5896" max="5896" width="9.140625" style="2097" customWidth="1"/>
    <col min="5897" max="5897" width="7.85546875" style="2097" customWidth="1"/>
    <col min="5898" max="5898" width="12.140625" style="2097" customWidth="1"/>
    <col min="5899" max="5899" width="16.42578125" style="2097" customWidth="1"/>
    <col min="5900" max="5900" width="19.7109375" style="2097" customWidth="1"/>
    <col min="5901" max="5901" width="16.7109375" style="2097" customWidth="1"/>
    <col min="5902" max="5902" width="13.7109375" style="2097" customWidth="1"/>
    <col min="5903" max="6144" width="8.85546875" style="2097"/>
    <col min="6145" max="6145" width="22.42578125" style="2097" customWidth="1"/>
    <col min="6146" max="6146" width="25.85546875" style="2097" customWidth="1"/>
    <col min="6147" max="6147" width="11" style="2097" customWidth="1"/>
    <col min="6148" max="6148" width="20.140625" style="2097" customWidth="1"/>
    <col min="6149" max="6149" width="12" style="2097" customWidth="1"/>
    <col min="6150" max="6150" width="11.42578125" style="2097" customWidth="1"/>
    <col min="6151" max="6151" width="19.42578125" style="2097" customWidth="1"/>
    <col min="6152" max="6152" width="9.140625" style="2097" customWidth="1"/>
    <col min="6153" max="6153" width="7.85546875" style="2097" customWidth="1"/>
    <col min="6154" max="6154" width="12.140625" style="2097" customWidth="1"/>
    <col min="6155" max="6155" width="16.42578125" style="2097" customWidth="1"/>
    <col min="6156" max="6156" width="19.7109375" style="2097" customWidth="1"/>
    <col min="6157" max="6157" width="16.7109375" style="2097" customWidth="1"/>
    <col min="6158" max="6158" width="13.7109375" style="2097" customWidth="1"/>
    <col min="6159" max="6400" width="8.85546875" style="2097"/>
    <col min="6401" max="6401" width="22.42578125" style="2097" customWidth="1"/>
    <col min="6402" max="6402" width="25.85546875" style="2097" customWidth="1"/>
    <col min="6403" max="6403" width="11" style="2097" customWidth="1"/>
    <col min="6404" max="6404" width="20.140625" style="2097" customWidth="1"/>
    <col min="6405" max="6405" width="12" style="2097" customWidth="1"/>
    <col min="6406" max="6406" width="11.42578125" style="2097" customWidth="1"/>
    <col min="6407" max="6407" width="19.42578125" style="2097" customWidth="1"/>
    <col min="6408" max="6408" width="9.140625" style="2097" customWidth="1"/>
    <col min="6409" max="6409" width="7.85546875" style="2097" customWidth="1"/>
    <col min="6410" max="6410" width="12.140625" style="2097" customWidth="1"/>
    <col min="6411" max="6411" width="16.42578125" style="2097" customWidth="1"/>
    <col min="6412" max="6412" width="19.7109375" style="2097" customWidth="1"/>
    <col min="6413" max="6413" width="16.7109375" style="2097" customWidth="1"/>
    <col min="6414" max="6414" width="13.7109375" style="2097" customWidth="1"/>
    <col min="6415" max="6656" width="8.85546875" style="2097"/>
    <col min="6657" max="6657" width="22.42578125" style="2097" customWidth="1"/>
    <col min="6658" max="6658" width="25.85546875" style="2097" customWidth="1"/>
    <col min="6659" max="6659" width="11" style="2097" customWidth="1"/>
    <col min="6660" max="6660" width="20.140625" style="2097" customWidth="1"/>
    <col min="6661" max="6661" width="12" style="2097" customWidth="1"/>
    <col min="6662" max="6662" width="11.42578125" style="2097" customWidth="1"/>
    <col min="6663" max="6663" width="19.42578125" style="2097" customWidth="1"/>
    <col min="6664" max="6664" width="9.140625" style="2097" customWidth="1"/>
    <col min="6665" max="6665" width="7.85546875" style="2097" customWidth="1"/>
    <col min="6666" max="6666" width="12.140625" style="2097" customWidth="1"/>
    <col min="6667" max="6667" width="16.42578125" style="2097" customWidth="1"/>
    <col min="6668" max="6668" width="19.7109375" style="2097" customWidth="1"/>
    <col min="6669" max="6669" width="16.7109375" style="2097" customWidth="1"/>
    <col min="6670" max="6670" width="13.7109375" style="2097" customWidth="1"/>
    <col min="6671" max="6912" width="8.85546875" style="2097"/>
    <col min="6913" max="6913" width="22.42578125" style="2097" customWidth="1"/>
    <col min="6914" max="6914" width="25.85546875" style="2097" customWidth="1"/>
    <col min="6915" max="6915" width="11" style="2097" customWidth="1"/>
    <col min="6916" max="6916" width="20.140625" style="2097" customWidth="1"/>
    <col min="6917" max="6917" width="12" style="2097" customWidth="1"/>
    <col min="6918" max="6918" width="11.42578125" style="2097" customWidth="1"/>
    <col min="6919" max="6919" width="19.42578125" style="2097" customWidth="1"/>
    <col min="6920" max="6920" width="9.140625" style="2097" customWidth="1"/>
    <col min="6921" max="6921" width="7.85546875" style="2097" customWidth="1"/>
    <col min="6922" max="6922" width="12.140625" style="2097" customWidth="1"/>
    <col min="6923" max="6923" width="16.42578125" style="2097" customWidth="1"/>
    <col min="6924" max="6924" width="19.7109375" style="2097" customWidth="1"/>
    <col min="6925" max="6925" width="16.7109375" style="2097" customWidth="1"/>
    <col min="6926" max="6926" width="13.7109375" style="2097" customWidth="1"/>
    <col min="6927" max="7168" width="8.85546875" style="2097"/>
    <col min="7169" max="7169" width="22.42578125" style="2097" customWidth="1"/>
    <col min="7170" max="7170" width="25.85546875" style="2097" customWidth="1"/>
    <col min="7171" max="7171" width="11" style="2097" customWidth="1"/>
    <col min="7172" max="7172" width="20.140625" style="2097" customWidth="1"/>
    <col min="7173" max="7173" width="12" style="2097" customWidth="1"/>
    <col min="7174" max="7174" width="11.42578125" style="2097" customWidth="1"/>
    <col min="7175" max="7175" width="19.42578125" style="2097" customWidth="1"/>
    <col min="7176" max="7176" width="9.140625" style="2097" customWidth="1"/>
    <col min="7177" max="7177" width="7.85546875" style="2097" customWidth="1"/>
    <col min="7178" max="7178" width="12.140625" style="2097" customWidth="1"/>
    <col min="7179" max="7179" width="16.42578125" style="2097" customWidth="1"/>
    <col min="7180" max="7180" width="19.7109375" style="2097" customWidth="1"/>
    <col min="7181" max="7181" width="16.7109375" style="2097" customWidth="1"/>
    <col min="7182" max="7182" width="13.7109375" style="2097" customWidth="1"/>
    <col min="7183" max="7424" width="8.85546875" style="2097"/>
    <col min="7425" max="7425" width="22.42578125" style="2097" customWidth="1"/>
    <col min="7426" max="7426" width="25.85546875" style="2097" customWidth="1"/>
    <col min="7427" max="7427" width="11" style="2097" customWidth="1"/>
    <col min="7428" max="7428" width="20.140625" style="2097" customWidth="1"/>
    <col min="7429" max="7429" width="12" style="2097" customWidth="1"/>
    <col min="7430" max="7430" width="11.42578125" style="2097" customWidth="1"/>
    <col min="7431" max="7431" width="19.42578125" style="2097" customWidth="1"/>
    <col min="7432" max="7432" width="9.140625" style="2097" customWidth="1"/>
    <col min="7433" max="7433" width="7.85546875" style="2097" customWidth="1"/>
    <col min="7434" max="7434" width="12.140625" style="2097" customWidth="1"/>
    <col min="7435" max="7435" width="16.42578125" style="2097" customWidth="1"/>
    <col min="7436" max="7436" width="19.7109375" style="2097" customWidth="1"/>
    <col min="7437" max="7437" width="16.7109375" style="2097" customWidth="1"/>
    <col min="7438" max="7438" width="13.7109375" style="2097" customWidth="1"/>
    <col min="7439" max="7680" width="8.85546875" style="2097"/>
    <col min="7681" max="7681" width="22.42578125" style="2097" customWidth="1"/>
    <col min="7682" max="7682" width="25.85546875" style="2097" customWidth="1"/>
    <col min="7683" max="7683" width="11" style="2097" customWidth="1"/>
    <col min="7684" max="7684" width="20.140625" style="2097" customWidth="1"/>
    <col min="7685" max="7685" width="12" style="2097" customWidth="1"/>
    <col min="7686" max="7686" width="11.42578125" style="2097" customWidth="1"/>
    <col min="7687" max="7687" width="19.42578125" style="2097" customWidth="1"/>
    <col min="7688" max="7688" width="9.140625" style="2097" customWidth="1"/>
    <col min="7689" max="7689" width="7.85546875" style="2097" customWidth="1"/>
    <col min="7690" max="7690" width="12.140625" style="2097" customWidth="1"/>
    <col min="7691" max="7691" width="16.42578125" style="2097" customWidth="1"/>
    <col min="7692" max="7692" width="19.7109375" style="2097" customWidth="1"/>
    <col min="7693" max="7693" width="16.7109375" style="2097" customWidth="1"/>
    <col min="7694" max="7694" width="13.7109375" style="2097" customWidth="1"/>
    <col min="7695" max="7936" width="8.85546875" style="2097"/>
    <col min="7937" max="7937" width="22.42578125" style="2097" customWidth="1"/>
    <col min="7938" max="7938" width="25.85546875" style="2097" customWidth="1"/>
    <col min="7939" max="7939" width="11" style="2097" customWidth="1"/>
    <col min="7940" max="7940" width="20.140625" style="2097" customWidth="1"/>
    <col min="7941" max="7941" width="12" style="2097" customWidth="1"/>
    <col min="7942" max="7942" width="11.42578125" style="2097" customWidth="1"/>
    <col min="7943" max="7943" width="19.42578125" style="2097" customWidth="1"/>
    <col min="7944" max="7944" width="9.140625" style="2097" customWidth="1"/>
    <col min="7945" max="7945" width="7.85546875" style="2097" customWidth="1"/>
    <col min="7946" max="7946" width="12.140625" style="2097" customWidth="1"/>
    <col min="7947" max="7947" width="16.42578125" style="2097" customWidth="1"/>
    <col min="7948" max="7948" width="19.7109375" style="2097" customWidth="1"/>
    <col min="7949" max="7949" width="16.7109375" style="2097" customWidth="1"/>
    <col min="7950" max="7950" width="13.7109375" style="2097" customWidth="1"/>
    <col min="7951" max="8192" width="8.85546875" style="2097"/>
    <col min="8193" max="8193" width="22.42578125" style="2097" customWidth="1"/>
    <col min="8194" max="8194" width="25.85546875" style="2097" customWidth="1"/>
    <col min="8195" max="8195" width="11" style="2097" customWidth="1"/>
    <col min="8196" max="8196" width="20.140625" style="2097" customWidth="1"/>
    <col min="8197" max="8197" width="12" style="2097" customWidth="1"/>
    <col min="8198" max="8198" width="11.42578125" style="2097" customWidth="1"/>
    <col min="8199" max="8199" width="19.42578125" style="2097" customWidth="1"/>
    <col min="8200" max="8200" width="9.140625" style="2097" customWidth="1"/>
    <col min="8201" max="8201" width="7.85546875" style="2097" customWidth="1"/>
    <col min="8202" max="8202" width="12.140625" style="2097" customWidth="1"/>
    <col min="8203" max="8203" width="16.42578125" style="2097" customWidth="1"/>
    <col min="8204" max="8204" width="19.7109375" style="2097" customWidth="1"/>
    <col min="8205" max="8205" width="16.7109375" style="2097" customWidth="1"/>
    <col min="8206" max="8206" width="13.7109375" style="2097" customWidth="1"/>
    <col min="8207" max="8448" width="8.85546875" style="2097"/>
    <col min="8449" max="8449" width="22.42578125" style="2097" customWidth="1"/>
    <col min="8450" max="8450" width="25.85546875" style="2097" customWidth="1"/>
    <col min="8451" max="8451" width="11" style="2097" customWidth="1"/>
    <col min="8452" max="8452" width="20.140625" style="2097" customWidth="1"/>
    <col min="8453" max="8453" width="12" style="2097" customWidth="1"/>
    <col min="8454" max="8454" width="11.42578125" style="2097" customWidth="1"/>
    <col min="8455" max="8455" width="19.42578125" style="2097" customWidth="1"/>
    <col min="8456" max="8456" width="9.140625" style="2097" customWidth="1"/>
    <col min="8457" max="8457" width="7.85546875" style="2097" customWidth="1"/>
    <col min="8458" max="8458" width="12.140625" style="2097" customWidth="1"/>
    <col min="8459" max="8459" width="16.42578125" style="2097" customWidth="1"/>
    <col min="8460" max="8460" width="19.7109375" style="2097" customWidth="1"/>
    <col min="8461" max="8461" width="16.7109375" style="2097" customWidth="1"/>
    <col min="8462" max="8462" width="13.7109375" style="2097" customWidth="1"/>
    <col min="8463" max="8704" width="8.85546875" style="2097"/>
    <col min="8705" max="8705" width="22.42578125" style="2097" customWidth="1"/>
    <col min="8706" max="8706" width="25.85546875" style="2097" customWidth="1"/>
    <col min="8707" max="8707" width="11" style="2097" customWidth="1"/>
    <col min="8708" max="8708" width="20.140625" style="2097" customWidth="1"/>
    <col min="8709" max="8709" width="12" style="2097" customWidth="1"/>
    <col min="8710" max="8710" width="11.42578125" style="2097" customWidth="1"/>
    <col min="8711" max="8711" width="19.42578125" style="2097" customWidth="1"/>
    <col min="8712" max="8712" width="9.140625" style="2097" customWidth="1"/>
    <col min="8713" max="8713" width="7.85546875" style="2097" customWidth="1"/>
    <col min="8714" max="8714" width="12.140625" style="2097" customWidth="1"/>
    <col min="8715" max="8715" width="16.42578125" style="2097" customWidth="1"/>
    <col min="8716" max="8716" width="19.7109375" style="2097" customWidth="1"/>
    <col min="8717" max="8717" width="16.7109375" style="2097" customWidth="1"/>
    <col min="8718" max="8718" width="13.7109375" style="2097" customWidth="1"/>
    <col min="8719" max="8960" width="8.85546875" style="2097"/>
    <col min="8961" max="8961" width="22.42578125" style="2097" customWidth="1"/>
    <col min="8962" max="8962" width="25.85546875" style="2097" customWidth="1"/>
    <col min="8963" max="8963" width="11" style="2097" customWidth="1"/>
    <col min="8964" max="8964" width="20.140625" style="2097" customWidth="1"/>
    <col min="8965" max="8965" width="12" style="2097" customWidth="1"/>
    <col min="8966" max="8966" width="11.42578125" style="2097" customWidth="1"/>
    <col min="8967" max="8967" width="19.42578125" style="2097" customWidth="1"/>
    <col min="8968" max="8968" width="9.140625" style="2097" customWidth="1"/>
    <col min="8969" max="8969" width="7.85546875" style="2097" customWidth="1"/>
    <col min="8970" max="8970" width="12.140625" style="2097" customWidth="1"/>
    <col min="8971" max="8971" width="16.42578125" style="2097" customWidth="1"/>
    <col min="8972" max="8972" width="19.7109375" style="2097" customWidth="1"/>
    <col min="8973" max="8973" width="16.7109375" style="2097" customWidth="1"/>
    <col min="8974" max="8974" width="13.7109375" style="2097" customWidth="1"/>
    <col min="8975" max="9216" width="8.85546875" style="2097"/>
    <col min="9217" max="9217" width="22.42578125" style="2097" customWidth="1"/>
    <col min="9218" max="9218" width="25.85546875" style="2097" customWidth="1"/>
    <col min="9219" max="9219" width="11" style="2097" customWidth="1"/>
    <col min="9220" max="9220" width="20.140625" style="2097" customWidth="1"/>
    <col min="9221" max="9221" width="12" style="2097" customWidth="1"/>
    <col min="9222" max="9222" width="11.42578125" style="2097" customWidth="1"/>
    <col min="9223" max="9223" width="19.42578125" style="2097" customWidth="1"/>
    <col min="9224" max="9224" width="9.140625" style="2097" customWidth="1"/>
    <col min="9225" max="9225" width="7.85546875" style="2097" customWidth="1"/>
    <col min="9226" max="9226" width="12.140625" style="2097" customWidth="1"/>
    <col min="9227" max="9227" width="16.42578125" style="2097" customWidth="1"/>
    <col min="9228" max="9228" width="19.7109375" style="2097" customWidth="1"/>
    <col min="9229" max="9229" width="16.7109375" style="2097" customWidth="1"/>
    <col min="9230" max="9230" width="13.7109375" style="2097" customWidth="1"/>
    <col min="9231" max="9472" width="8.85546875" style="2097"/>
    <col min="9473" max="9473" width="22.42578125" style="2097" customWidth="1"/>
    <col min="9474" max="9474" width="25.85546875" style="2097" customWidth="1"/>
    <col min="9475" max="9475" width="11" style="2097" customWidth="1"/>
    <col min="9476" max="9476" width="20.140625" style="2097" customWidth="1"/>
    <col min="9477" max="9477" width="12" style="2097" customWidth="1"/>
    <col min="9478" max="9478" width="11.42578125" style="2097" customWidth="1"/>
    <col min="9479" max="9479" width="19.42578125" style="2097" customWidth="1"/>
    <col min="9480" max="9480" width="9.140625" style="2097" customWidth="1"/>
    <col min="9481" max="9481" width="7.85546875" style="2097" customWidth="1"/>
    <col min="9482" max="9482" width="12.140625" style="2097" customWidth="1"/>
    <col min="9483" max="9483" width="16.42578125" style="2097" customWidth="1"/>
    <col min="9484" max="9484" width="19.7109375" style="2097" customWidth="1"/>
    <col min="9485" max="9485" width="16.7109375" style="2097" customWidth="1"/>
    <col min="9486" max="9486" width="13.7109375" style="2097" customWidth="1"/>
    <col min="9487" max="9728" width="8.85546875" style="2097"/>
    <col min="9729" max="9729" width="22.42578125" style="2097" customWidth="1"/>
    <col min="9730" max="9730" width="25.85546875" style="2097" customWidth="1"/>
    <col min="9731" max="9731" width="11" style="2097" customWidth="1"/>
    <col min="9732" max="9732" width="20.140625" style="2097" customWidth="1"/>
    <col min="9733" max="9733" width="12" style="2097" customWidth="1"/>
    <col min="9734" max="9734" width="11.42578125" style="2097" customWidth="1"/>
    <col min="9735" max="9735" width="19.42578125" style="2097" customWidth="1"/>
    <col min="9736" max="9736" width="9.140625" style="2097" customWidth="1"/>
    <col min="9737" max="9737" width="7.85546875" style="2097" customWidth="1"/>
    <col min="9738" max="9738" width="12.140625" style="2097" customWidth="1"/>
    <col min="9739" max="9739" width="16.42578125" style="2097" customWidth="1"/>
    <col min="9740" max="9740" width="19.7109375" style="2097" customWidth="1"/>
    <col min="9741" max="9741" width="16.7109375" style="2097" customWidth="1"/>
    <col min="9742" max="9742" width="13.7109375" style="2097" customWidth="1"/>
    <col min="9743" max="9984" width="8.85546875" style="2097"/>
    <col min="9985" max="9985" width="22.42578125" style="2097" customWidth="1"/>
    <col min="9986" max="9986" width="25.85546875" style="2097" customWidth="1"/>
    <col min="9987" max="9987" width="11" style="2097" customWidth="1"/>
    <col min="9988" max="9988" width="20.140625" style="2097" customWidth="1"/>
    <col min="9989" max="9989" width="12" style="2097" customWidth="1"/>
    <col min="9990" max="9990" width="11.42578125" style="2097" customWidth="1"/>
    <col min="9991" max="9991" width="19.42578125" style="2097" customWidth="1"/>
    <col min="9992" max="9992" width="9.140625" style="2097" customWidth="1"/>
    <col min="9993" max="9993" width="7.85546875" style="2097" customWidth="1"/>
    <col min="9994" max="9994" width="12.140625" style="2097" customWidth="1"/>
    <col min="9995" max="9995" width="16.42578125" style="2097" customWidth="1"/>
    <col min="9996" max="9996" width="19.7109375" style="2097" customWidth="1"/>
    <col min="9997" max="9997" width="16.7109375" style="2097" customWidth="1"/>
    <col min="9998" max="9998" width="13.7109375" style="2097" customWidth="1"/>
    <col min="9999" max="10240" width="8.85546875" style="2097"/>
    <col min="10241" max="10241" width="22.42578125" style="2097" customWidth="1"/>
    <col min="10242" max="10242" width="25.85546875" style="2097" customWidth="1"/>
    <col min="10243" max="10243" width="11" style="2097" customWidth="1"/>
    <col min="10244" max="10244" width="20.140625" style="2097" customWidth="1"/>
    <col min="10245" max="10245" width="12" style="2097" customWidth="1"/>
    <col min="10246" max="10246" width="11.42578125" style="2097" customWidth="1"/>
    <col min="10247" max="10247" width="19.42578125" style="2097" customWidth="1"/>
    <col min="10248" max="10248" width="9.140625" style="2097" customWidth="1"/>
    <col min="10249" max="10249" width="7.85546875" style="2097" customWidth="1"/>
    <col min="10250" max="10250" width="12.140625" style="2097" customWidth="1"/>
    <col min="10251" max="10251" width="16.42578125" style="2097" customWidth="1"/>
    <col min="10252" max="10252" width="19.7109375" style="2097" customWidth="1"/>
    <col min="10253" max="10253" width="16.7109375" style="2097" customWidth="1"/>
    <col min="10254" max="10254" width="13.7109375" style="2097" customWidth="1"/>
    <col min="10255" max="10496" width="8.85546875" style="2097"/>
    <col min="10497" max="10497" width="22.42578125" style="2097" customWidth="1"/>
    <col min="10498" max="10498" width="25.85546875" style="2097" customWidth="1"/>
    <col min="10499" max="10499" width="11" style="2097" customWidth="1"/>
    <col min="10500" max="10500" width="20.140625" style="2097" customWidth="1"/>
    <col min="10501" max="10501" width="12" style="2097" customWidth="1"/>
    <col min="10502" max="10502" width="11.42578125" style="2097" customWidth="1"/>
    <col min="10503" max="10503" width="19.42578125" style="2097" customWidth="1"/>
    <col min="10504" max="10504" width="9.140625" style="2097" customWidth="1"/>
    <col min="10505" max="10505" width="7.85546875" style="2097" customWidth="1"/>
    <col min="10506" max="10506" width="12.140625" style="2097" customWidth="1"/>
    <col min="10507" max="10507" width="16.42578125" style="2097" customWidth="1"/>
    <col min="10508" max="10508" width="19.7109375" style="2097" customWidth="1"/>
    <col min="10509" max="10509" width="16.7109375" style="2097" customWidth="1"/>
    <col min="10510" max="10510" width="13.7109375" style="2097" customWidth="1"/>
    <col min="10511" max="10752" width="8.85546875" style="2097"/>
    <col min="10753" max="10753" width="22.42578125" style="2097" customWidth="1"/>
    <col min="10754" max="10754" width="25.85546875" style="2097" customWidth="1"/>
    <col min="10755" max="10755" width="11" style="2097" customWidth="1"/>
    <col min="10756" max="10756" width="20.140625" style="2097" customWidth="1"/>
    <col min="10757" max="10757" width="12" style="2097" customWidth="1"/>
    <col min="10758" max="10758" width="11.42578125" style="2097" customWidth="1"/>
    <col min="10759" max="10759" width="19.42578125" style="2097" customWidth="1"/>
    <col min="10760" max="10760" width="9.140625" style="2097" customWidth="1"/>
    <col min="10761" max="10761" width="7.85546875" style="2097" customWidth="1"/>
    <col min="10762" max="10762" width="12.140625" style="2097" customWidth="1"/>
    <col min="10763" max="10763" width="16.42578125" style="2097" customWidth="1"/>
    <col min="10764" max="10764" width="19.7109375" style="2097" customWidth="1"/>
    <col min="10765" max="10765" width="16.7109375" style="2097" customWidth="1"/>
    <col min="10766" max="10766" width="13.7109375" style="2097" customWidth="1"/>
    <col min="10767" max="11008" width="8.85546875" style="2097"/>
    <col min="11009" max="11009" width="22.42578125" style="2097" customWidth="1"/>
    <col min="11010" max="11010" width="25.85546875" style="2097" customWidth="1"/>
    <col min="11011" max="11011" width="11" style="2097" customWidth="1"/>
    <col min="11012" max="11012" width="20.140625" style="2097" customWidth="1"/>
    <col min="11013" max="11013" width="12" style="2097" customWidth="1"/>
    <col min="11014" max="11014" width="11.42578125" style="2097" customWidth="1"/>
    <col min="11015" max="11015" width="19.42578125" style="2097" customWidth="1"/>
    <col min="11016" max="11016" width="9.140625" style="2097" customWidth="1"/>
    <col min="11017" max="11017" width="7.85546875" style="2097" customWidth="1"/>
    <col min="11018" max="11018" width="12.140625" style="2097" customWidth="1"/>
    <col min="11019" max="11019" width="16.42578125" style="2097" customWidth="1"/>
    <col min="11020" max="11020" width="19.7109375" style="2097" customWidth="1"/>
    <col min="11021" max="11021" width="16.7109375" style="2097" customWidth="1"/>
    <col min="11022" max="11022" width="13.7109375" style="2097" customWidth="1"/>
    <col min="11023" max="11264" width="8.85546875" style="2097"/>
    <col min="11265" max="11265" width="22.42578125" style="2097" customWidth="1"/>
    <col min="11266" max="11266" width="25.85546875" style="2097" customWidth="1"/>
    <col min="11267" max="11267" width="11" style="2097" customWidth="1"/>
    <col min="11268" max="11268" width="20.140625" style="2097" customWidth="1"/>
    <col min="11269" max="11269" width="12" style="2097" customWidth="1"/>
    <col min="11270" max="11270" width="11.42578125" style="2097" customWidth="1"/>
    <col min="11271" max="11271" width="19.42578125" style="2097" customWidth="1"/>
    <col min="11272" max="11272" width="9.140625" style="2097" customWidth="1"/>
    <col min="11273" max="11273" width="7.85546875" style="2097" customWidth="1"/>
    <col min="11274" max="11274" width="12.140625" style="2097" customWidth="1"/>
    <col min="11275" max="11275" width="16.42578125" style="2097" customWidth="1"/>
    <col min="11276" max="11276" width="19.7109375" style="2097" customWidth="1"/>
    <col min="11277" max="11277" width="16.7109375" style="2097" customWidth="1"/>
    <col min="11278" max="11278" width="13.7109375" style="2097" customWidth="1"/>
    <col min="11279" max="11520" width="8.85546875" style="2097"/>
    <col min="11521" max="11521" width="22.42578125" style="2097" customWidth="1"/>
    <col min="11522" max="11522" width="25.85546875" style="2097" customWidth="1"/>
    <col min="11523" max="11523" width="11" style="2097" customWidth="1"/>
    <col min="11524" max="11524" width="20.140625" style="2097" customWidth="1"/>
    <col min="11525" max="11525" width="12" style="2097" customWidth="1"/>
    <col min="11526" max="11526" width="11.42578125" style="2097" customWidth="1"/>
    <col min="11527" max="11527" width="19.42578125" style="2097" customWidth="1"/>
    <col min="11528" max="11528" width="9.140625" style="2097" customWidth="1"/>
    <col min="11529" max="11529" width="7.85546875" style="2097" customWidth="1"/>
    <col min="11530" max="11530" width="12.140625" style="2097" customWidth="1"/>
    <col min="11531" max="11531" width="16.42578125" style="2097" customWidth="1"/>
    <col min="11532" max="11532" width="19.7109375" style="2097" customWidth="1"/>
    <col min="11533" max="11533" width="16.7109375" style="2097" customWidth="1"/>
    <col min="11534" max="11534" width="13.7109375" style="2097" customWidth="1"/>
    <col min="11535" max="11776" width="8.85546875" style="2097"/>
    <col min="11777" max="11777" width="22.42578125" style="2097" customWidth="1"/>
    <col min="11778" max="11778" width="25.85546875" style="2097" customWidth="1"/>
    <col min="11779" max="11779" width="11" style="2097" customWidth="1"/>
    <col min="11780" max="11780" width="20.140625" style="2097" customWidth="1"/>
    <col min="11781" max="11781" width="12" style="2097" customWidth="1"/>
    <col min="11782" max="11782" width="11.42578125" style="2097" customWidth="1"/>
    <col min="11783" max="11783" width="19.42578125" style="2097" customWidth="1"/>
    <col min="11784" max="11784" width="9.140625" style="2097" customWidth="1"/>
    <col min="11785" max="11785" width="7.85546875" style="2097" customWidth="1"/>
    <col min="11786" max="11786" width="12.140625" style="2097" customWidth="1"/>
    <col min="11787" max="11787" width="16.42578125" style="2097" customWidth="1"/>
    <col min="11788" max="11788" width="19.7109375" style="2097" customWidth="1"/>
    <col min="11789" max="11789" width="16.7109375" style="2097" customWidth="1"/>
    <col min="11790" max="11790" width="13.7109375" style="2097" customWidth="1"/>
    <col min="11791" max="12032" width="8.85546875" style="2097"/>
    <col min="12033" max="12033" width="22.42578125" style="2097" customWidth="1"/>
    <col min="12034" max="12034" width="25.85546875" style="2097" customWidth="1"/>
    <col min="12035" max="12035" width="11" style="2097" customWidth="1"/>
    <col min="12036" max="12036" width="20.140625" style="2097" customWidth="1"/>
    <col min="12037" max="12037" width="12" style="2097" customWidth="1"/>
    <col min="12038" max="12038" width="11.42578125" style="2097" customWidth="1"/>
    <col min="12039" max="12039" width="19.42578125" style="2097" customWidth="1"/>
    <col min="12040" max="12040" width="9.140625" style="2097" customWidth="1"/>
    <col min="12041" max="12041" width="7.85546875" style="2097" customWidth="1"/>
    <col min="12042" max="12042" width="12.140625" style="2097" customWidth="1"/>
    <col min="12043" max="12043" width="16.42578125" style="2097" customWidth="1"/>
    <col min="12044" max="12044" width="19.7109375" style="2097" customWidth="1"/>
    <col min="12045" max="12045" width="16.7109375" style="2097" customWidth="1"/>
    <col min="12046" max="12046" width="13.7109375" style="2097" customWidth="1"/>
    <col min="12047" max="12288" width="8.85546875" style="2097"/>
    <col min="12289" max="12289" width="22.42578125" style="2097" customWidth="1"/>
    <col min="12290" max="12290" width="25.85546875" style="2097" customWidth="1"/>
    <col min="12291" max="12291" width="11" style="2097" customWidth="1"/>
    <col min="12292" max="12292" width="20.140625" style="2097" customWidth="1"/>
    <col min="12293" max="12293" width="12" style="2097" customWidth="1"/>
    <col min="12294" max="12294" width="11.42578125" style="2097" customWidth="1"/>
    <col min="12295" max="12295" width="19.42578125" style="2097" customWidth="1"/>
    <col min="12296" max="12296" width="9.140625" style="2097" customWidth="1"/>
    <col min="12297" max="12297" width="7.85546875" style="2097" customWidth="1"/>
    <col min="12298" max="12298" width="12.140625" style="2097" customWidth="1"/>
    <col min="12299" max="12299" width="16.42578125" style="2097" customWidth="1"/>
    <col min="12300" max="12300" width="19.7109375" style="2097" customWidth="1"/>
    <col min="12301" max="12301" width="16.7109375" style="2097" customWidth="1"/>
    <col min="12302" max="12302" width="13.7109375" style="2097" customWidth="1"/>
    <col min="12303" max="12544" width="8.85546875" style="2097"/>
    <col min="12545" max="12545" width="22.42578125" style="2097" customWidth="1"/>
    <col min="12546" max="12546" width="25.85546875" style="2097" customWidth="1"/>
    <col min="12547" max="12547" width="11" style="2097" customWidth="1"/>
    <col min="12548" max="12548" width="20.140625" style="2097" customWidth="1"/>
    <col min="12549" max="12549" width="12" style="2097" customWidth="1"/>
    <col min="12550" max="12550" width="11.42578125" style="2097" customWidth="1"/>
    <col min="12551" max="12551" width="19.42578125" style="2097" customWidth="1"/>
    <col min="12552" max="12552" width="9.140625" style="2097" customWidth="1"/>
    <col min="12553" max="12553" width="7.85546875" style="2097" customWidth="1"/>
    <col min="12554" max="12554" width="12.140625" style="2097" customWidth="1"/>
    <col min="12555" max="12555" width="16.42578125" style="2097" customWidth="1"/>
    <col min="12556" max="12556" width="19.7109375" style="2097" customWidth="1"/>
    <col min="12557" max="12557" width="16.7109375" style="2097" customWidth="1"/>
    <col min="12558" max="12558" width="13.7109375" style="2097" customWidth="1"/>
    <col min="12559" max="12800" width="8.85546875" style="2097"/>
    <col min="12801" max="12801" width="22.42578125" style="2097" customWidth="1"/>
    <col min="12802" max="12802" width="25.85546875" style="2097" customWidth="1"/>
    <col min="12803" max="12803" width="11" style="2097" customWidth="1"/>
    <col min="12804" max="12804" width="20.140625" style="2097" customWidth="1"/>
    <col min="12805" max="12805" width="12" style="2097" customWidth="1"/>
    <col min="12806" max="12806" width="11.42578125" style="2097" customWidth="1"/>
    <col min="12807" max="12807" width="19.42578125" style="2097" customWidth="1"/>
    <col min="12808" max="12808" width="9.140625" style="2097" customWidth="1"/>
    <col min="12809" max="12809" width="7.85546875" style="2097" customWidth="1"/>
    <col min="12810" max="12810" width="12.140625" style="2097" customWidth="1"/>
    <col min="12811" max="12811" width="16.42578125" style="2097" customWidth="1"/>
    <col min="12812" max="12812" width="19.7109375" style="2097" customWidth="1"/>
    <col min="12813" max="12813" width="16.7109375" style="2097" customWidth="1"/>
    <col min="12814" max="12814" width="13.7109375" style="2097" customWidth="1"/>
    <col min="12815" max="13056" width="8.85546875" style="2097"/>
    <col min="13057" max="13057" width="22.42578125" style="2097" customWidth="1"/>
    <col min="13058" max="13058" width="25.85546875" style="2097" customWidth="1"/>
    <col min="13059" max="13059" width="11" style="2097" customWidth="1"/>
    <col min="13060" max="13060" width="20.140625" style="2097" customWidth="1"/>
    <col min="13061" max="13061" width="12" style="2097" customWidth="1"/>
    <col min="13062" max="13062" width="11.42578125" style="2097" customWidth="1"/>
    <col min="13063" max="13063" width="19.42578125" style="2097" customWidth="1"/>
    <col min="13064" max="13064" width="9.140625" style="2097" customWidth="1"/>
    <col min="13065" max="13065" width="7.85546875" style="2097" customWidth="1"/>
    <col min="13066" max="13066" width="12.140625" style="2097" customWidth="1"/>
    <col min="13067" max="13067" width="16.42578125" style="2097" customWidth="1"/>
    <col min="13068" max="13068" width="19.7109375" style="2097" customWidth="1"/>
    <col min="13069" max="13069" width="16.7109375" style="2097" customWidth="1"/>
    <col min="13070" max="13070" width="13.7109375" style="2097" customWidth="1"/>
    <col min="13071" max="13312" width="8.85546875" style="2097"/>
    <col min="13313" max="13313" width="22.42578125" style="2097" customWidth="1"/>
    <col min="13314" max="13314" width="25.85546875" style="2097" customWidth="1"/>
    <col min="13315" max="13315" width="11" style="2097" customWidth="1"/>
    <col min="13316" max="13316" width="20.140625" style="2097" customWidth="1"/>
    <col min="13317" max="13317" width="12" style="2097" customWidth="1"/>
    <col min="13318" max="13318" width="11.42578125" style="2097" customWidth="1"/>
    <col min="13319" max="13319" width="19.42578125" style="2097" customWidth="1"/>
    <col min="13320" max="13320" width="9.140625" style="2097" customWidth="1"/>
    <col min="13321" max="13321" width="7.85546875" style="2097" customWidth="1"/>
    <col min="13322" max="13322" width="12.140625" style="2097" customWidth="1"/>
    <col min="13323" max="13323" width="16.42578125" style="2097" customWidth="1"/>
    <col min="13324" max="13324" width="19.7109375" style="2097" customWidth="1"/>
    <col min="13325" max="13325" width="16.7109375" style="2097" customWidth="1"/>
    <col min="13326" max="13326" width="13.7109375" style="2097" customWidth="1"/>
    <col min="13327" max="13568" width="8.85546875" style="2097"/>
    <col min="13569" max="13569" width="22.42578125" style="2097" customWidth="1"/>
    <col min="13570" max="13570" width="25.85546875" style="2097" customWidth="1"/>
    <col min="13571" max="13571" width="11" style="2097" customWidth="1"/>
    <col min="13572" max="13572" width="20.140625" style="2097" customWidth="1"/>
    <col min="13573" max="13573" width="12" style="2097" customWidth="1"/>
    <col min="13574" max="13574" width="11.42578125" style="2097" customWidth="1"/>
    <col min="13575" max="13575" width="19.42578125" style="2097" customWidth="1"/>
    <col min="13576" max="13576" width="9.140625" style="2097" customWidth="1"/>
    <col min="13577" max="13577" width="7.85546875" style="2097" customWidth="1"/>
    <col min="13578" max="13578" width="12.140625" style="2097" customWidth="1"/>
    <col min="13579" max="13579" width="16.42578125" style="2097" customWidth="1"/>
    <col min="13580" max="13580" width="19.7109375" style="2097" customWidth="1"/>
    <col min="13581" max="13581" width="16.7109375" style="2097" customWidth="1"/>
    <col min="13582" max="13582" width="13.7109375" style="2097" customWidth="1"/>
    <col min="13583" max="13824" width="8.85546875" style="2097"/>
    <col min="13825" max="13825" width="22.42578125" style="2097" customWidth="1"/>
    <col min="13826" max="13826" width="25.85546875" style="2097" customWidth="1"/>
    <col min="13827" max="13827" width="11" style="2097" customWidth="1"/>
    <col min="13828" max="13828" width="20.140625" style="2097" customWidth="1"/>
    <col min="13829" max="13829" width="12" style="2097" customWidth="1"/>
    <col min="13830" max="13830" width="11.42578125" style="2097" customWidth="1"/>
    <col min="13831" max="13831" width="19.42578125" style="2097" customWidth="1"/>
    <col min="13832" max="13832" width="9.140625" style="2097" customWidth="1"/>
    <col min="13833" max="13833" width="7.85546875" style="2097" customWidth="1"/>
    <col min="13834" max="13834" width="12.140625" style="2097" customWidth="1"/>
    <col min="13835" max="13835" width="16.42578125" style="2097" customWidth="1"/>
    <col min="13836" max="13836" width="19.7109375" style="2097" customWidth="1"/>
    <col min="13837" max="13837" width="16.7109375" style="2097" customWidth="1"/>
    <col min="13838" max="13838" width="13.7109375" style="2097" customWidth="1"/>
    <col min="13839" max="14080" width="8.85546875" style="2097"/>
    <col min="14081" max="14081" width="22.42578125" style="2097" customWidth="1"/>
    <col min="14082" max="14082" width="25.85546875" style="2097" customWidth="1"/>
    <col min="14083" max="14083" width="11" style="2097" customWidth="1"/>
    <col min="14084" max="14084" width="20.140625" style="2097" customWidth="1"/>
    <col min="14085" max="14085" width="12" style="2097" customWidth="1"/>
    <col min="14086" max="14086" width="11.42578125" style="2097" customWidth="1"/>
    <col min="14087" max="14087" width="19.42578125" style="2097" customWidth="1"/>
    <col min="14088" max="14088" width="9.140625" style="2097" customWidth="1"/>
    <col min="14089" max="14089" width="7.85546875" style="2097" customWidth="1"/>
    <col min="14090" max="14090" width="12.140625" style="2097" customWidth="1"/>
    <col min="14091" max="14091" width="16.42578125" style="2097" customWidth="1"/>
    <col min="14092" max="14092" width="19.7109375" style="2097" customWidth="1"/>
    <col min="14093" max="14093" width="16.7109375" style="2097" customWidth="1"/>
    <col min="14094" max="14094" width="13.7109375" style="2097" customWidth="1"/>
    <col min="14095" max="14336" width="8.85546875" style="2097"/>
    <col min="14337" max="14337" width="22.42578125" style="2097" customWidth="1"/>
    <col min="14338" max="14338" width="25.85546875" style="2097" customWidth="1"/>
    <col min="14339" max="14339" width="11" style="2097" customWidth="1"/>
    <col min="14340" max="14340" width="20.140625" style="2097" customWidth="1"/>
    <col min="14341" max="14341" width="12" style="2097" customWidth="1"/>
    <col min="14342" max="14342" width="11.42578125" style="2097" customWidth="1"/>
    <col min="14343" max="14343" width="19.42578125" style="2097" customWidth="1"/>
    <col min="14344" max="14344" width="9.140625" style="2097" customWidth="1"/>
    <col min="14345" max="14345" width="7.85546875" style="2097" customWidth="1"/>
    <col min="14346" max="14346" width="12.140625" style="2097" customWidth="1"/>
    <col min="14347" max="14347" width="16.42578125" style="2097" customWidth="1"/>
    <col min="14348" max="14348" width="19.7109375" style="2097" customWidth="1"/>
    <col min="14349" max="14349" width="16.7109375" style="2097" customWidth="1"/>
    <col min="14350" max="14350" width="13.7109375" style="2097" customWidth="1"/>
    <col min="14351" max="14592" width="8.85546875" style="2097"/>
    <col min="14593" max="14593" width="22.42578125" style="2097" customWidth="1"/>
    <col min="14594" max="14594" width="25.85546875" style="2097" customWidth="1"/>
    <col min="14595" max="14595" width="11" style="2097" customWidth="1"/>
    <col min="14596" max="14596" width="20.140625" style="2097" customWidth="1"/>
    <col min="14597" max="14597" width="12" style="2097" customWidth="1"/>
    <col min="14598" max="14598" width="11.42578125" style="2097" customWidth="1"/>
    <col min="14599" max="14599" width="19.42578125" style="2097" customWidth="1"/>
    <col min="14600" max="14600" width="9.140625" style="2097" customWidth="1"/>
    <col min="14601" max="14601" width="7.85546875" style="2097" customWidth="1"/>
    <col min="14602" max="14602" width="12.140625" style="2097" customWidth="1"/>
    <col min="14603" max="14603" width="16.42578125" style="2097" customWidth="1"/>
    <col min="14604" max="14604" width="19.7109375" style="2097" customWidth="1"/>
    <col min="14605" max="14605" width="16.7109375" style="2097" customWidth="1"/>
    <col min="14606" max="14606" width="13.7109375" style="2097" customWidth="1"/>
    <col min="14607" max="14848" width="8.85546875" style="2097"/>
    <col min="14849" max="14849" width="22.42578125" style="2097" customWidth="1"/>
    <col min="14850" max="14850" width="25.85546875" style="2097" customWidth="1"/>
    <col min="14851" max="14851" width="11" style="2097" customWidth="1"/>
    <col min="14852" max="14852" width="20.140625" style="2097" customWidth="1"/>
    <col min="14853" max="14853" width="12" style="2097" customWidth="1"/>
    <col min="14854" max="14854" width="11.42578125" style="2097" customWidth="1"/>
    <col min="14855" max="14855" width="19.42578125" style="2097" customWidth="1"/>
    <col min="14856" max="14856" width="9.140625" style="2097" customWidth="1"/>
    <col min="14857" max="14857" width="7.85546875" style="2097" customWidth="1"/>
    <col min="14858" max="14858" width="12.140625" style="2097" customWidth="1"/>
    <col min="14859" max="14859" width="16.42578125" style="2097" customWidth="1"/>
    <col min="14860" max="14860" width="19.7109375" style="2097" customWidth="1"/>
    <col min="14861" max="14861" width="16.7109375" style="2097" customWidth="1"/>
    <col min="14862" max="14862" width="13.7109375" style="2097" customWidth="1"/>
    <col min="14863" max="15104" width="8.85546875" style="2097"/>
    <col min="15105" max="15105" width="22.42578125" style="2097" customWidth="1"/>
    <col min="15106" max="15106" width="25.85546875" style="2097" customWidth="1"/>
    <col min="15107" max="15107" width="11" style="2097" customWidth="1"/>
    <col min="15108" max="15108" width="20.140625" style="2097" customWidth="1"/>
    <col min="15109" max="15109" width="12" style="2097" customWidth="1"/>
    <col min="15110" max="15110" width="11.42578125" style="2097" customWidth="1"/>
    <col min="15111" max="15111" width="19.42578125" style="2097" customWidth="1"/>
    <col min="15112" max="15112" width="9.140625" style="2097" customWidth="1"/>
    <col min="15113" max="15113" width="7.85546875" style="2097" customWidth="1"/>
    <col min="15114" max="15114" width="12.140625" style="2097" customWidth="1"/>
    <col min="15115" max="15115" width="16.42578125" style="2097" customWidth="1"/>
    <col min="15116" max="15116" width="19.7109375" style="2097" customWidth="1"/>
    <col min="15117" max="15117" width="16.7109375" style="2097" customWidth="1"/>
    <col min="15118" max="15118" width="13.7109375" style="2097" customWidth="1"/>
    <col min="15119" max="15360" width="8.85546875" style="2097"/>
    <col min="15361" max="15361" width="22.42578125" style="2097" customWidth="1"/>
    <col min="15362" max="15362" width="25.85546875" style="2097" customWidth="1"/>
    <col min="15363" max="15363" width="11" style="2097" customWidth="1"/>
    <col min="15364" max="15364" width="20.140625" style="2097" customWidth="1"/>
    <col min="15365" max="15365" width="12" style="2097" customWidth="1"/>
    <col min="15366" max="15366" width="11.42578125" style="2097" customWidth="1"/>
    <col min="15367" max="15367" width="19.42578125" style="2097" customWidth="1"/>
    <col min="15368" max="15368" width="9.140625" style="2097" customWidth="1"/>
    <col min="15369" max="15369" width="7.85546875" style="2097" customWidth="1"/>
    <col min="15370" max="15370" width="12.140625" style="2097" customWidth="1"/>
    <col min="15371" max="15371" width="16.42578125" style="2097" customWidth="1"/>
    <col min="15372" max="15372" width="19.7109375" style="2097" customWidth="1"/>
    <col min="15373" max="15373" width="16.7109375" style="2097" customWidth="1"/>
    <col min="15374" max="15374" width="13.7109375" style="2097" customWidth="1"/>
    <col min="15375" max="15616" width="8.85546875" style="2097"/>
    <col min="15617" max="15617" width="22.42578125" style="2097" customWidth="1"/>
    <col min="15618" max="15618" width="25.85546875" style="2097" customWidth="1"/>
    <col min="15619" max="15619" width="11" style="2097" customWidth="1"/>
    <col min="15620" max="15620" width="20.140625" style="2097" customWidth="1"/>
    <col min="15621" max="15621" width="12" style="2097" customWidth="1"/>
    <col min="15622" max="15622" width="11.42578125" style="2097" customWidth="1"/>
    <col min="15623" max="15623" width="19.42578125" style="2097" customWidth="1"/>
    <col min="15624" max="15624" width="9.140625" style="2097" customWidth="1"/>
    <col min="15625" max="15625" width="7.85546875" style="2097" customWidth="1"/>
    <col min="15626" max="15626" width="12.140625" style="2097" customWidth="1"/>
    <col min="15627" max="15627" width="16.42578125" style="2097" customWidth="1"/>
    <col min="15628" max="15628" width="19.7109375" style="2097" customWidth="1"/>
    <col min="15629" max="15629" width="16.7109375" style="2097" customWidth="1"/>
    <col min="15630" max="15630" width="13.7109375" style="2097" customWidth="1"/>
    <col min="15631" max="15872" width="8.85546875" style="2097"/>
    <col min="15873" max="15873" width="22.42578125" style="2097" customWidth="1"/>
    <col min="15874" max="15874" width="25.85546875" style="2097" customWidth="1"/>
    <col min="15875" max="15875" width="11" style="2097" customWidth="1"/>
    <col min="15876" max="15876" width="20.140625" style="2097" customWidth="1"/>
    <col min="15877" max="15877" width="12" style="2097" customWidth="1"/>
    <col min="15878" max="15878" width="11.42578125" style="2097" customWidth="1"/>
    <col min="15879" max="15879" width="19.42578125" style="2097" customWidth="1"/>
    <col min="15880" max="15880" width="9.140625" style="2097" customWidth="1"/>
    <col min="15881" max="15881" width="7.85546875" style="2097" customWidth="1"/>
    <col min="15882" max="15882" width="12.140625" style="2097" customWidth="1"/>
    <col min="15883" max="15883" width="16.42578125" style="2097" customWidth="1"/>
    <col min="15884" max="15884" width="19.7109375" style="2097" customWidth="1"/>
    <col min="15885" max="15885" width="16.7109375" style="2097" customWidth="1"/>
    <col min="15886" max="15886" width="13.7109375" style="2097" customWidth="1"/>
    <col min="15887" max="16128" width="8.85546875" style="2097"/>
    <col min="16129" max="16129" width="22.42578125" style="2097" customWidth="1"/>
    <col min="16130" max="16130" width="25.85546875" style="2097" customWidth="1"/>
    <col min="16131" max="16131" width="11" style="2097" customWidth="1"/>
    <col min="16132" max="16132" width="20.140625" style="2097" customWidth="1"/>
    <col min="16133" max="16133" width="12" style="2097" customWidth="1"/>
    <col min="16134" max="16134" width="11.42578125" style="2097" customWidth="1"/>
    <col min="16135" max="16135" width="19.42578125" style="2097" customWidth="1"/>
    <col min="16136" max="16136" width="9.140625" style="2097" customWidth="1"/>
    <col min="16137" max="16137" width="7.85546875" style="2097" customWidth="1"/>
    <col min="16138" max="16138" width="12.140625" style="2097" customWidth="1"/>
    <col min="16139" max="16139" width="16.42578125" style="2097" customWidth="1"/>
    <col min="16140" max="16140" width="19.7109375" style="2097" customWidth="1"/>
    <col min="16141" max="16141" width="16.7109375" style="2097" customWidth="1"/>
    <col min="16142" max="16142" width="13.7109375" style="2097" customWidth="1"/>
    <col min="16143" max="16384" width="8.85546875" style="2097"/>
  </cols>
  <sheetData>
    <row r="1" spans="1:14" ht="106.5" customHeight="1">
      <c r="M1" s="2097"/>
      <c r="N1" s="2539"/>
    </row>
    <row r="2" spans="1:14" ht="27.75" customHeight="1">
      <c r="A2" s="2538" t="s">
        <v>232</v>
      </c>
      <c r="B2" s="3246" t="s">
        <v>231</v>
      </c>
      <c r="C2" s="3246"/>
      <c r="D2" s="3246"/>
      <c r="E2" s="3246"/>
      <c r="F2" s="3246"/>
      <c r="G2" s="3246"/>
      <c r="H2" s="3246"/>
      <c r="I2" s="3246"/>
      <c r="J2" s="3246"/>
      <c r="K2" s="3246"/>
      <c r="L2" s="3246"/>
      <c r="M2" s="2657"/>
      <c r="N2" s="2540"/>
    </row>
    <row r="3" spans="1:14" ht="27.75" customHeight="1">
      <c r="A3" s="2168"/>
      <c r="B3" s="2166"/>
      <c r="C3" s="2167"/>
      <c r="D3" s="2167"/>
      <c r="E3" s="2166"/>
      <c r="F3" s="2166"/>
      <c r="G3" s="2104"/>
      <c r="H3" s="2113"/>
      <c r="I3" s="2165"/>
      <c r="J3" s="2100"/>
      <c r="K3" s="2165"/>
      <c r="L3" s="2165"/>
      <c r="M3" s="2097"/>
      <c r="N3" s="2100"/>
    </row>
    <row r="4" spans="1:14" ht="30" customHeight="1">
      <c r="A4" s="3247" t="s">
        <v>46</v>
      </c>
      <c r="B4" s="3247"/>
      <c r="C4" s="3247"/>
      <c r="D4" s="3247"/>
      <c r="E4" s="3247"/>
      <c r="F4" s="3247"/>
      <c r="G4" s="3247"/>
      <c r="H4" s="3247"/>
      <c r="I4" s="3247"/>
      <c r="J4" s="3247"/>
      <c r="K4" s="3247"/>
      <c r="L4" s="3247"/>
      <c r="M4" s="3247"/>
      <c r="N4" s="2097"/>
    </row>
    <row r="5" spans="1:14" ht="30" customHeight="1">
      <c r="A5" s="3247" t="s">
        <v>230</v>
      </c>
      <c r="B5" s="3247"/>
      <c r="C5" s="3247"/>
      <c r="D5" s="3247"/>
      <c r="E5" s="3247"/>
      <c r="F5" s="3247"/>
      <c r="G5" s="3247"/>
      <c r="H5" s="3247"/>
      <c r="I5" s="3247"/>
      <c r="J5" s="3247"/>
      <c r="K5" s="3247"/>
      <c r="L5" s="3247"/>
      <c r="M5" s="3247"/>
      <c r="N5" s="2099"/>
    </row>
    <row r="6" spans="1:14" ht="30" customHeight="1">
      <c r="A6" s="2157"/>
      <c r="B6" s="2158"/>
      <c r="C6" s="2164"/>
      <c r="D6" s="2158"/>
      <c r="E6" s="2163"/>
      <c r="F6" s="2163"/>
      <c r="G6" s="2162"/>
      <c r="H6" s="2100"/>
      <c r="I6" s="2161"/>
      <c r="J6" s="2107"/>
      <c r="K6" s="2161"/>
      <c r="L6" s="2097"/>
      <c r="M6" s="2161"/>
      <c r="N6" s="2107"/>
    </row>
    <row r="7" spans="1:14" ht="30" customHeight="1">
      <c r="A7" s="3247" t="s">
        <v>1704</v>
      </c>
      <c r="B7" s="3247"/>
      <c r="C7" s="3247"/>
      <c r="D7" s="3247"/>
      <c r="E7" s="3247"/>
      <c r="F7" s="3247"/>
      <c r="G7" s="3247"/>
      <c r="H7" s="3247"/>
      <c r="I7" s="3247"/>
      <c r="J7" s="3247"/>
      <c r="K7" s="3247"/>
      <c r="L7" s="3247"/>
      <c r="M7" s="3247"/>
      <c r="N7" s="2097"/>
    </row>
    <row r="8" spans="1:14" ht="30.75" customHeight="1">
      <c r="A8" s="3247" t="s">
        <v>229</v>
      </c>
      <c r="B8" s="3247"/>
      <c r="C8" s="3247"/>
      <c r="D8" s="3247"/>
      <c r="E8" s="3247"/>
      <c r="F8" s="3247"/>
      <c r="G8" s="3247"/>
      <c r="H8" s="3247"/>
      <c r="I8" s="3247"/>
      <c r="J8" s="3247"/>
      <c r="K8" s="3247"/>
      <c r="L8" s="3247"/>
      <c r="M8" s="3247"/>
      <c r="N8" s="2135"/>
    </row>
    <row r="9" spans="1:14" ht="13.5" thickBot="1">
      <c r="A9" s="2097"/>
      <c r="B9" s="2105"/>
      <c r="C9" s="2160"/>
      <c r="D9" s="2130"/>
      <c r="E9" s="2135"/>
      <c r="F9" s="2097"/>
      <c r="G9" s="2097"/>
      <c r="H9" s="2159"/>
      <c r="I9" s="2159"/>
      <c r="J9" s="2159"/>
      <c r="K9" s="2159"/>
      <c r="L9" s="2097"/>
      <c r="M9" s="2142"/>
      <c r="N9" s="2135"/>
    </row>
    <row r="10" spans="1:14" ht="40.5" customHeight="1">
      <c r="A10" s="2581" t="s">
        <v>228</v>
      </c>
      <c r="B10" s="2582" t="s">
        <v>227</v>
      </c>
      <c r="C10" s="3251" t="s">
        <v>49</v>
      </c>
      <c r="D10" s="3252"/>
      <c r="E10" s="3253" t="s">
        <v>226</v>
      </c>
      <c r="F10" s="3254"/>
      <c r="G10" s="3254"/>
      <c r="H10" s="3255"/>
      <c r="I10" s="2123"/>
      <c r="J10" s="2123"/>
      <c r="K10" s="2123"/>
      <c r="L10" s="2097"/>
      <c r="M10" s="2139"/>
      <c r="N10" s="2118"/>
    </row>
    <row r="11" spans="1:14" ht="13.5" thickBot="1">
      <c r="A11" s="2577"/>
      <c r="B11" s="2583"/>
      <c r="C11" s="2584"/>
      <c r="D11" s="2578"/>
      <c r="E11" s="2585"/>
      <c r="F11" s="2579"/>
      <c r="G11" s="2579"/>
      <c r="H11" s="2580"/>
      <c r="I11" s="2111"/>
      <c r="J11" s="2111"/>
      <c r="K11" s="2111"/>
      <c r="L11" s="2097"/>
      <c r="M11" s="2097"/>
      <c r="N11" s="2097"/>
    </row>
    <row r="12" spans="1:14" ht="16.5" thickBot="1">
      <c r="A12" s="2574" t="s">
        <v>47</v>
      </c>
      <c r="B12" s="2575"/>
      <c r="C12" s="2575"/>
      <c r="D12" s="2575"/>
      <c r="E12" s="2575"/>
      <c r="F12" s="2575"/>
      <c r="G12" s="2575"/>
      <c r="H12" s="2576"/>
      <c r="I12" s="2110"/>
      <c r="J12" s="2138"/>
      <c r="K12" s="2120"/>
      <c r="L12" s="2097"/>
      <c r="M12" s="2097"/>
      <c r="N12" s="2097"/>
    </row>
    <row r="13" spans="1:14" ht="18">
      <c r="A13" s="2564"/>
      <c r="B13" s="2586" t="s">
        <v>807</v>
      </c>
      <c r="C13" s="2589"/>
      <c r="D13" s="2547"/>
      <c r="E13" s="2600"/>
      <c r="F13" s="2601"/>
      <c r="G13" s="2601"/>
      <c r="H13" s="2602"/>
      <c r="I13" s="2158"/>
      <c r="J13" s="2138"/>
      <c r="K13" s="2122"/>
      <c r="L13" s="2097"/>
      <c r="M13" s="2097"/>
      <c r="N13" s="2097"/>
    </row>
    <row r="14" spans="1:14" ht="18.75" thickBot="1">
      <c r="A14" s="2564"/>
      <c r="B14" s="2550" t="s">
        <v>667</v>
      </c>
      <c r="C14" s="2590">
        <v>5208.2168117301198</v>
      </c>
      <c r="D14" s="2549" t="s">
        <v>696</v>
      </c>
      <c r="E14" s="2603"/>
      <c r="F14" s="2548">
        <v>3067.3</v>
      </c>
      <c r="G14" s="2549" t="s">
        <v>696</v>
      </c>
      <c r="H14" s="2563"/>
      <c r="I14" s="2135"/>
      <c r="J14" s="2135"/>
      <c r="K14" s="2135"/>
      <c r="L14" s="2097"/>
      <c r="M14" s="2097"/>
      <c r="N14" s="2097"/>
    </row>
    <row r="15" spans="1:14" ht="18.75" thickBot="1">
      <c r="A15" s="2565"/>
      <c r="B15" s="2550" t="s">
        <v>272</v>
      </c>
      <c r="C15" s="2591">
        <v>0.13500000000000001</v>
      </c>
      <c r="D15" s="2549"/>
      <c r="E15" s="2603"/>
      <c r="F15" s="2551"/>
      <c r="G15" s="2549"/>
      <c r="H15" s="2563"/>
      <c r="I15" s="2135"/>
      <c r="J15" s="2541" t="s">
        <v>225</v>
      </c>
      <c r="K15" s="3262" t="s">
        <v>224</v>
      </c>
      <c r="L15" s="3263"/>
      <c r="M15" s="3264"/>
      <c r="N15" s="2097"/>
    </row>
    <row r="16" spans="1:14" ht="18.75" thickBot="1">
      <c r="A16" s="2565"/>
      <c r="B16" s="2693" t="s">
        <v>1705</v>
      </c>
      <c r="C16" s="2592">
        <v>2148.3894348386743</v>
      </c>
      <c r="D16" s="2549" t="s">
        <v>696</v>
      </c>
      <c r="E16" s="2604"/>
      <c r="F16" s="2552">
        <f>F14*(1-F15)</f>
        <v>3067.3</v>
      </c>
      <c r="G16" s="2549" t="s">
        <v>696</v>
      </c>
      <c r="H16" s="2563"/>
      <c r="I16" s="2104"/>
      <c r="J16" s="3265" t="s">
        <v>667</v>
      </c>
      <c r="K16" s="2542" t="s">
        <v>223</v>
      </c>
      <c r="L16" s="2542" t="s">
        <v>222</v>
      </c>
      <c r="M16" s="2542" t="s">
        <v>221</v>
      </c>
      <c r="N16" s="2097"/>
    </row>
    <row r="17" spans="1:15" ht="18.75" thickBot="1">
      <c r="A17" s="2565"/>
      <c r="B17" s="2550"/>
      <c r="C17" s="2593"/>
      <c r="D17" s="2549"/>
      <c r="E17" s="2603"/>
      <c r="F17" s="2553"/>
      <c r="G17" s="2549"/>
      <c r="H17" s="2563"/>
      <c r="I17" s="2126"/>
      <c r="J17" s="3266"/>
      <c r="K17" s="2543">
        <v>6.6000000000000003E-2</v>
      </c>
      <c r="L17" s="2543">
        <v>0.751</v>
      </c>
      <c r="M17" s="2543">
        <v>0.183</v>
      </c>
      <c r="N17" s="2097"/>
    </row>
    <row r="18" spans="1:15" ht="18">
      <c r="A18" s="2565"/>
      <c r="B18" s="2587" t="s">
        <v>632</v>
      </c>
      <c r="C18" s="2593"/>
      <c r="D18" s="2549"/>
      <c r="E18" s="2603"/>
      <c r="F18" s="2553"/>
      <c r="G18" s="2549"/>
      <c r="H18" s="2563"/>
      <c r="I18" s="2097"/>
      <c r="J18" s="2097"/>
      <c r="K18" s="2097">
        <v>60</v>
      </c>
      <c r="L18" s="2097">
        <f>AVERAGE(61,120)</f>
        <v>90.5</v>
      </c>
      <c r="M18" s="2097">
        <v>120</v>
      </c>
      <c r="N18" s="2097"/>
    </row>
    <row r="19" spans="1:15" ht="18">
      <c r="A19" s="2565"/>
      <c r="B19" s="2550" t="s">
        <v>689</v>
      </c>
      <c r="C19" s="2592">
        <v>3716.5</v>
      </c>
      <c r="D19" s="2549" t="s">
        <v>668</v>
      </c>
      <c r="E19" s="2604"/>
      <c r="F19" s="2552">
        <v>5407.3194444444443</v>
      </c>
      <c r="G19" s="2549" t="s">
        <v>668</v>
      </c>
      <c r="H19" s="2563"/>
      <c r="I19" s="2115"/>
      <c r="J19" s="2115"/>
      <c r="K19" s="2129">
        <f>K18*K17</f>
        <v>3.96</v>
      </c>
      <c r="L19" s="2097">
        <f>L18*L17</f>
        <v>67.965500000000006</v>
      </c>
      <c r="M19" s="2142">
        <f>M18*M17</f>
        <v>21.96</v>
      </c>
      <c r="N19" s="2115">
        <f>SUM(K19:M19)</f>
        <v>93.885500000000008</v>
      </c>
      <c r="O19" s="2099" t="s">
        <v>220</v>
      </c>
    </row>
    <row r="20" spans="1:15" ht="18">
      <c r="A20" s="2565"/>
      <c r="B20" s="2550"/>
      <c r="C20" s="2593"/>
      <c r="D20" s="2549"/>
      <c r="E20" s="2603"/>
      <c r="F20" s="2553"/>
      <c r="G20" s="2549"/>
      <c r="H20" s="2563"/>
      <c r="I20" s="2115"/>
      <c r="J20" s="2115"/>
      <c r="K20" s="2129"/>
      <c r="L20" s="2097"/>
      <c r="M20" s="2142"/>
      <c r="N20" s="2097"/>
    </row>
    <row r="21" spans="1:15" ht="18">
      <c r="A21" s="2565"/>
      <c r="B21" s="2587" t="s">
        <v>219</v>
      </c>
      <c r="C21" s="2593"/>
      <c r="D21" s="2549"/>
      <c r="E21" s="2603"/>
      <c r="F21" s="2553"/>
      <c r="G21" s="2549"/>
      <c r="H21" s="2563"/>
      <c r="I21" s="2115"/>
      <c r="J21" s="2544">
        <v>61.7</v>
      </c>
      <c r="K21" s="2129" t="s">
        <v>218</v>
      </c>
      <c r="L21" s="2115">
        <v>87.638888888888886</v>
      </c>
      <c r="M21" s="2142" t="s">
        <v>217</v>
      </c>
      <c r="N21" s="2097">
        <f>J21*L21</f>
        <v>5407.3194444444443</v>
      </c>
      <c r="O21" s="2099" t="s">
        <v>216</v>
      </c>
    </row>
    <row r="22" spans="1:15" ht="18">
      <c r="A22" s="2565"/>
      <c r="B22" s="2693" t="s">
        <v>1706</v>
      </c>
      <c r="C22" s="2594">
        <v>109.30441083988111</v>
      </c>
      <c r="D22" s="2549" t="s">
        <v>698</v>
      </c>
      <c r="E22" s="2603"/>
      <c r="F22" s="2554">
        <v>93.89</v>
      </c>
      <c r="G22" s="2549" t="s">
        <v>698</v>
      </c>
      <c r="H22" s="2563"/>
      <c r="I22" s="2123"/>
      <c r="J22" s="2123"/>
      <c r="K22" s="2123"/>
      <c r="L22" s="2097"/>
      <c r="M22" s="2139"/>
      <c r="N22" s="2118"/>
    </row>
    <row r="23" spans="1:15" ht="18.75">
      <c r="A23" s="2565"/>
      <c r="B23" s="2693" t="s">
        <v>1707</v>
      </c>
      <c r="C23" s="2594">
        <v>16.357714030632511</v>
      </c>
      <c r="D23" s="2549" t="s">
        <v>699</v>
      </c>
      <c r="E23" s="2603"/>
      <c r="F23" s="2554"/>
      <c r="G23" s="2549" t="s">
        <v>699</v>
      </c>
      <c r="H23" s="2563"/>
      <c r="I23" s="2097"/>
      <c r="J23" s="2097"/>
      <c r="K23" s="2097"/>
      <c r="L23" s="2097"/>
      <c r="M23" s="2097"/>
      <c r="N23" s="2097"/>
    </row>
    <row r="24" spans="1:15" ht="18.75">
      <c r="A24" s="2565"/>
      <c r="B24" s="2693" t="s">
        <v>1708</v>
      </c>
      <c r="C24" s="2594">
        <v>21.636015155139138</v>
      </c>
      <c r="D24" s="2549" t="s">
        <v>48</v>
      </c>
      <c r="E24" s="2603"/>
      <c r="F24" s="2554"/>
      <c r="G24" s="2549" t="s">
        <v>48</v>
      </c>
      <c r="H24" s="2563"/>
      <c r="I24" s="2110"/>
      <c r="J24" s="2104"/>
      <c r="K24" s="2120"/>
      <c r="L24" s="2097"/>
      <c r="M24" s="2097"/>
      <c r="N24" s="2097"/>
    </row>
    <row r="25" spans="1:15" ht="18">
      <c r="A25" s="2565"/>
      <c r="B25" s="2693" t="s">
        <v>694</v>
      </c>
      <c r="C25" s="2594">
        <v>2.335</v>
      </c>
      <c r="D25" s="2549" t="s">
        <v>696</v>
      </c>
      <c r="E25" s="2603"/>
      <c r="F25" s="2554"/>
      <c r="G25" s="2549" t="s">
        <v>696</v>
      </c>
      <c r="H25" s="2563"/>
      <c r="I25" s="2110"/>
      <c r="J25" s="2104"/>
      <c r="K25" s="2120"/>
      <c r="L25" s="2097"/>
      <c r="M25" s="2097"/>
      <c r="N25" s="2097"/>
    </row>
    <row r="26" spans="1:15" ht="18">
      <c r="A26" s="2565"/>
      <c r="B26" s="2550"/>
      <c r="C26" s="2595"/>
      <c r="D26" s="2549"/>
      <c r="E26" s="2603"/>
      <c r="F26" s="2555"/>
      <c r="G26" s="2549"/>
      <c r="H26" s="2563"/>
      <c r="I26" s="2135"/>
      <c r="J26" s="2135"/>
      <c r="K26" s="2135"/>
      <c r="L26" s="2097"/>
      <c r="M26" s="2097"/>
      <c r="N26" s="2097"/>
    </row>
    <row r="27" spans="1:15" ht="18">
      <c r="A27" s="2565"/>
      <c r="B27" s="2587" t="s">
        <v>518</v>
      </c>
      <c r="C27" s="2595"/>
      <c r="D27" s="2549"/>
      <c r="E27" s="2604"/>
      <c r="F27" s="2555"/>
      <c r="G27" s="2549"/>
      <c r="H27" s="2563"/>
      <c r="I27" s="2135"/>
      <c r="J27" s="2135"/>
      <c r="K27" s="2135"/>
      <c r="L27" s="2097"/>
      <c r="M27" s="2119"/>
      <c r="N27" s="2097"/>
    </row>
    <row r="28" spans="1:15" ht="18">
      <c r="A28" s="2565"/>
      <c r="B28" s="2588" t="s">
        <v>213</v>
      </c>
      <c r="C28" s="2596">
        <v>120</v>
      </c>
      <c r="D28" s="2549" t="s">
        <v>696</v>
      </c>
      <c r="E28" s="2603"/>
      <c r="F28" s="2556"/>
      <c r="G28" s="2549" t="s">
        <v>696</v>
      </c>
      <c r="H28" s="2563"/>
      <c r="I28" s="2104"/>
      <c r="J28" s="2104"/>
      <c r="K28" s="2117"/>
      <c r="L28" s="2097"/>
      <c r="M28" s="2100"/>
      <c r="N28" s="2097"/>
    </row>
    <row r="29" spans="1:15" ht="18">
      <c r="A29" s="2565"/>
      <c r="B29" s="2587"/>
      <c r="C29" s="2597"/>
      <c r="D29" s="2549"/>
      <c r="E29" s="2604"/>
      <c r="F29" s="2557"/>
      <c r="G29" s="2549"/>
      <c r="H29" s="2563"/>
      <c r="I29" s="2126"/>
      <c r="J29" s="2126"/>
      <c r="K29" s="2126"/>
      <c r="L29" s="2097"/>
      <c r="M29" s="2126"/>
      <c r="N29" s="2097"/>
    </row>
    <row r="30" spans="1:15" ht="23.25" customHeight="1">
      <c r="A30" s="2565"/>
      <c r="B30" s="2587" t="s">
        <v>1694</v>
      </c>
      <c r="C30" s="2598">
        <v>1.8083001106671583</v>
      </c>
      <c r="D30" s="2549" t="s">
        <v>696</v>
      </c>
      <c r="E30" s="2604"/>
      <c r="F30" s="2558">
        <v>2.8915855069828575</v>
      </c>
      <c r="G30" s="2549" t="s">
        <v>696</v>
      </c>
      <c r="H30" s="2563"/>
      <c r="I30" s="2126"/>
      <c r="J30" s="3256" t="s">
        <v>1713</v>
      </c>
      <c r="K30" s="3257"/>
      <c r="L30" s="3257"/>
      <c r="M30" s="3257"/>
      <c r="N30" s="3257"/>
      <c r="O30" s="3258"/>
    </row>
    <row r="31" spans="1:15" ht="15">
      <c r="A31" s="2565"/>
      <c r="B31" s="2587"/>
      <c r="C31" s="2599"/>
      <c r="D31" s="2547"/>
      <c r="E31" s="2605"/>
      <c r="F31" s="2559"/>
      <c r="G31" s="2560"/>
      <c r="H31" s="2566"/>
      <c r="I31" s="2115"/>
      <c r="J31" s="3259"/>
      <c r="K31" s="3260"/>
      <c r="L31" s="3260"/>
      <c r="M31" s="3260"/>
      <c r="N31" s="3260"/>
      <c r="O31" s="3261"/>
    </row>
    <row r="32" spans="1:15" ht="15">
      <c r="A32" s="2565"/>
      <c r="B32" s="2587"/>
      <c r="C32" s="2599"/>
      <c r="D32" s="2547"/>
      <c r="E32" s="2550"/>
      <c r="F32" s="2547"/>
      <c r="G32" s="2547"/>
      <c r="H32" s="2567"/>
      <c r="I32" s="2115"/>
      <c r="J32" s="2115"/>
      <c r="K32" s="2123"/>
      <c r="L32" s="2097"/>
      <c r="M32" s="2097"/>
      <c r="N32" s="2097"/>
    </row>
    <row r="33" spans="1:14" ht="15">
      <c r="A33" s="2568"/>
      <c r="B33" s="2561"/>
      <c r="C33" s="2561"/>
      <c r="D33" s="2562"/>
      <c r="E33" s="2561"/>
      <c r="F33" s="2562"/>
      <c r="G33" s="2562"/>
      <c r="H33" s="2569"/>
      <c r="I33" s="2115"/>
      <c r="J33" s="2115"/>
      <c r="K33" s="2123"/>
      <c r="L33" s="2097"/>
      <c r="M33" s="2097"/>
      <c r="N33" s="2097"/>
    </row>
    <row r="34" spans="1:14" ht="13.5" thickBot="1">
      <c r="A34" s="2570"/>
      <c r="B34" s="2571"/>
      <c r="C34" s="2571"/>
      <c r="D34" s="2571"/>
      <c r="E34" s="2571"/>
      <c r="F34" s="2572"/>
      <c r="G34" s="2572"/>
      <c r="H34" s="2573"/>
      <c r="I34" s="2110"/>
      <c r="J34" s="2104"/>
      <c r="K34" s="2120"/>
      <c r="L34" s="2097"/>
      <c r="M34" s="2097"/>
      <c r="N34" s="2097"/>
    </row>
    <row r="35" spans="1:14" ht="13.5" thickBot="1">
      <c r="A35" s="2097"/>
      <c r="B35" s="2097"/>
      <c r="C35" s="2097"/>
      <c r="D35" s="2097"/>
      <c r="E35" s="2097"/>
      <c r="F35" s="2113"/>
      <c r="G35" s="2113"/>
      <c r="H35" s="2097"/>
      <c r="I35" s="2110"/>
      <c r="J35" s="2104"/>
      <c r="K35" s="2120"/>
      <c r="L35" s="2097"/>
      <c r="M35" s="2097"/>
      <c r="N35" s="2097"/>
    </row>
    <row r="36" spans="1:14" ht="19.5" thickBot="1">
      <c r="A36" s="2616" t="s">
        <v>799</v>
      </c>
      <c r="B36" s="2617"/>
      <c r="C36" s="2617"/>
      <c r="D36" s="2617"/>
      <c r="E36" s="2617"/>
      <c r="F36" s="2617"/>
      <c r="G36" s="2617"/>
      <c r="H36" s="2618"/>
      <c r="I36" s="2097"/>
      <c r="J36" s="2624" t="s">
        <v>50</v>
      </c>
      <c r="K36" s="2625"/>
      <c r="L36" s="2623"/>
      <c r="M36" s="2097"/>
      <c r="N36" s="2097"/>
    </row>
    <row r="37" spans="1:14" ht="15.75">
      <c r="A37" s="2606"/>
      <c r="B37" s="2607" t="s">
        <v>807</v>
      </c>
      <c r="C37" s="2614"/>
      <c r="D37" s="2608"/>
      <c r="E37" s="2614"/>
      <c r="F37" s="2608"/>
      <c r="G37" s="2608"/>
      <c r="H37" s="2609"/>
      <c r="I37" s="2135"/>
      <c r="J37" s="2626" t="s">
        <v>53</v>
      </c>
      <c r="K37" s="2627"/>
      <c r="L37" s="2623"/>
      <c r="M37" s="2119"/>
      <c r="N37" s="2097"/>
    </row>
    <row r="38" spans="1:14" ht="15.75">
      <c r="A38" s="2610"/>
      <c r="B38" s="2545" t="s">
        <v>745</v>
      </c>
      <c r="C38" s="2620">
        <v>0.53657882465020257</v>
      </c>
      <c r="D38" s="2695" t="s">
        <v>51</v>
      </c>
      <c r="E38" s="2546"/>
      <c r="F38" s="420">
        <f>M40/J39/M39</f>
        <v>0.44424192212096109</v>
      </c>
      <c r="G38" s="2695" t="s">
        <v>1711</v>
      </c>
      <c r="H38" s="2611"/>
      <c r="I38" s="2104"/>
      <c r="J38" s="2104"/>
      <c r="K38" s="2117"/>
      <c r="L38" s="2097"/>
      <c r="M38" s="2100"/>
      <c r="N38" s="2097"/>
    </row>
    <row r="39" spans="1:14" ht="13.5" thickBot="1">
      <c r="A39" s="2612"/>
      <c r="B39" s="2694" t="s">
        <v>1709</v>
      </c>
      <c r="C39" s="2621">
        <v>1.1399999999999999</v>
      </c>
      <c r="D39" s="2694" t="s">
        <v>1710</v>
      </c>
      <c r="E39" s="2615"/>
      <c r="F39" s="2619">
        <v>0.52</v>
      </c>
      <c r="G39" s="2694" t="s">
        <v>1712</v>
      </c>
      <c r="H39" s="2613"/>
      <c r="I39" s="2126"/>
      <c r="J39" s="2622">
        <v>3.55</v>
      </c>
      <c r="K39" s="2622" t="s">
        <v>211</v>
      </c>
      <c r="L39" s="2097"/>
      <c r="M39" s="2622">
        <v>17</v>
      </c>
      <c r="N39" s="2628" t="s">
        <v>210</v>
      </c>
    </row>
    <row r="40" spans="1:14">
      <c r="A40" s="2099"/>
      <c r="B40" s="2099"/>
      <c r="C40" s="2148"/>
      <c r="D40" s="2097"/>
      <c r="E40" s="2140"/>
      <c r="F40" s="2099"/>
      <c r="G40" s="2097"/>
      <c r="H40" s="2097"/>
      <c r="I40" s="2097"/>
      <c r="J40" s="2623">
        <v>1</v>
      </c>
      <c r="K40" s="2622" t="s">
        <v>209</v>
      </c>
      <c r="L40" s="2097"/>
      <c r="M40" s="2623">
        <v>26.81</v>
      </c>
      <c r="N40" s="2628" t="s">
        <v>208</v>
      </c>
    </row>
    <row r="41" spans="1:14">
      <c r="A41" s="2099"/>
      <c r="B41" s="2099"/>
      <c r="C41" s="2140"/>
      <c r="D41" s="2099"/>
      <c r="E41" s="2154"/>
      <c r="F41" s="2099"/>
      <c r="G41" s="2097"/>
      <c r="H41" s="2097"/>
      <c r="I41" s="2097"/>
      <c r="J41" s="2623">
        <v>0.52</v>
      </c>
      <c r="K41" s="2696" t="s">
        <v>1714</v>
      </c>
      <c r="L41" s="2097"/>
      <c r="M41" s="2097"/>
      <c r="N41" s="2097"/>
    </row>
    <row r="42" spans="1:14">
      <c r="A42" s="2097"/>
      <c r="B42" s="2105"/>
      <c r="C42" s="2154"/>
      <c r="D42" s="2097"/>
      <c r="E42" s="2135"/>
      <c r="F42" s="2097"/>
      <c r="G42" s="2097"/>
      <c r="H42" s="2097"/>
      <c r="I42" s="2097"/>
      <c r="J42" s="2097"/>
      <c r="K42" s="2097"/>
      <c r="L42" s="2097"/>
      <c r="M42" s="2097"/>
      <c r="N42" s="2097"/>
    </row>
    <row r="43" spans="1:14" ht="26.25">
      <c r="A43" s="3248" t="s">
        <v>54</v>
      </c>
      <c r="B43" s="3249"/>
      <c r="C43" s="3249"/>
      <c r="D43" s="3249"/>
      <c r="E43" s="3249"/>
      <c r="F43" s="3249"/>
      <c r="G43" s="3249"/>
      <c r="H43" s="3249"/>
      <c r="I43" s="3249"/>
      <c r="J43" s="3249"/>
      <c r="K43" s="3250"/>
      <c r="L43" s="2097"/>
      <c r="M43" s="2115"/>
      <c r="N43" s="2097"/>
    </row>
    <row r="44" spans="1:14">
      <c r="A44" s="2097"/>
      <c r="B44" s="2097"/>
      <c r="C44" s="2097"/>
      <c r="D44" s="2097"/>
      <c r="E44" s="2097"/>
      <c r="F44" s="2097"/>
      <c r="G44" s="2097"/>
      <c r="H44" s="2115"/>
      <c r="I44" s="2115"/>
      <c r="J44" s="2115"/>
      <c r="K44" s="2153"/>
      <c r="L44" s="2097"/>
      <c r="M44" s="2142"/>
      <c r="N44" s="2097"/>
    </row>
    <row r="45" spans="1:14">
      <c r="A45" s="2097"/>
      <c r="B45" s="2152"/>
      <c r="C45" s="2099"/>
      <c r="D45" s="2099"/>
      <c r="E45" s="2097"/>
      <c r="F45" s="2097"/>
      <c r="G45" s="2097"/>
      <c r="H45" s="2151"/>
      <c r="I45" s="2097"/>
      <c r="J45" s="2097"/>
      <c r="K45" s="2145"/>
      <c r="L45" s="2097"/>
      <c r="M45" s="2142"/>
      <c r="N45" s="2097"/>
    </row>
    <row r="46" spans="1:14">
      <c r="A46" s="2097"/>
      <c r="B46" s="2150"/>
      <c r="C46" s="2140"/>
      <c r="D46" s="2099"/>
      <c r="E46" s="2097"/>
      <c r="F46" s="2097"/>
      <c r="G46" s="2097"/>
      <c r="H46" s="2115"/>
      <c r="I46" s="2115"/>
      <c r="J46" s="2115"/>
      <c r="K46" s="2129"/>
      <c r="L46" s="2097"/>
      <c r="M46" s="2115"/>
      <c r="N46" s="2097"/>
    </row>
    <row r="47" spans="1:14">
      <c r="A47" s="2097"/>
      <c r="B47" s="2149"/>
      <c r="C47" s="2141"/>
      <c r="D47" s="2097"/>
      <c r="E47" s="2097"/>
      <c r="F47" s="2097"/>
      <c r="G47" s="2097"/>
      <c r="H47" s="2115"/>
      <c r="I47" s="2143"/>
      <c r="J47" s="2143"/>
      <c r="K47" s="2129"/>
      <c r="L47" s="2097"/>
      <c r="M47" s="2142"/>
      <c r="N47" s="2097"/>
    </row>
    <row r="48" spans="1:14">
      <c r="A48" s="2097"/>
      <c r="B48" s="2149"/>
      <c r="C48" s="2140"/>
      <c r="D48" s="2097"/>
      <c r="E48" s="2097"/>
      <c r="F48" s="2097"/>
      <c r="G48" s="2097"/>
      <c r="H48" s="2115"/>
      <c r="I48" s="2115"/>
      <c r="J48" s="2115"/>
      <c r="K48" s="2129"/>
      <c r="L48" s="2097"/>
      <c r="M48" s="2115"/>
      <c r="N48" s="2097"/>
    </row>
    <row r="49" spans="1:14">
      <c r="A49" s="2097"/>
      <c r="B49" s="2149"/>
      <c r="C49" s="2141"/>
      <c r="D49" s="2097"/>
      <c r="E49" s="2097"/>
      <c r="F49" s="2097"/>
      <c r="G49" s="2097"/>
      <c r="H49" s="2115"/>
      <c r="I49" s="2143"/>
      <c r="J49" s="2143"/>
      <c r="K49" s="2129"/>
      <c r="L49" s="2097"/>
      <c r="M49" s="2115"/>
      <c r="N49" s="2097"/>
    </row>
    <row r="50" spans="1:14">
      <c r="A50" s="2097"/>
      <c r="B50" s="2149"/>
      <c r="C50" s="2140"/>
      <c r="D50" s="2097"/>
      <c r="E50" s="2097"/>
      <c r="F50" s="2097"/>
      <c r="G50" s="2097"/>
      <c r="H50" s="2115"/>
      <c r="I50" s="2115"/>
      <c r="J50" s="2115"/>
      <c r="K50" s="2129"/>
      <c r="L50" s="2097"/>
      <c r="M50" s="2115"/>
      <c r="N50" s="2097"/>
    </row>
    <row r="51" spans="1:14">
      <c r="A51" s="2097"/>
      <c r="B51" s="2097"/>
      <c r="C51" s="2128"/>
      <c r="D51" s="2128"/>
      <c r="E51" s="2097"/>
      <c r="F51" s="2097"/>
      <c r="G51" s="2097"/>
      <c r="H51" s="2115"/>
      <c r="I51" s="2115"/>
      <c r="J51" s="2115"/>
      <c r="K51" s="2129"/>
      <c r="L51" s="2097"/>
      <c r="M51" s="2115"/>
      <c r="N51" s="2097"/>
    </row>
    <row r="52" spans="1:14">
      <c r="A52" s="2097"/>
      <c r="B52" s="2105"/>
      <c r="C52" s="2128"/>
      <c r="D52" s="2097"/>
      <c r="E52" s="2097"/>
      <c r="F52" s="2097"/>
      <c r="G52" s="2097"/>
      <c r="H52" s="2115"/>
      <c r="I52" s="2115"/>
      <c r="J52" s="2115"/>
      <c r="K52" s="2129"/>
      <c r="L52" s="2097"/>
      <c r="M52" s="2115"/>
      <c r="N52" s="2097"/>
    </row>
    <row r="53" spans="1:14">
      <c r="A53" s="2097"/>
      <c r="B53" s="2097"/>
      <c r="C53" s="2148"/>
      <c r="D53" s="2097"/>
      <c r="E53" s="2097"/>
      <c r="F53" s="2097"/>
      <c r="G53" s="2097"/>
      <c r="H53" s="2115"/>
      <c r="I53" s="2115"/>
      <c r="J53" s="2115"/>
      <c r="K53" s="2129"/>
      <c r="L53" s="2097"/>
      <c r="M53" s="2115"/>
      <c r="N53" s="2097"/>
    </row>
    <row r="54" spans="1:14">
      <c r="A54" s="2097"/>
      <c r="B54" s="2097"/>
      <c r="C54" s="2099"/>
      <c r="D54" s="2099"/>
      <c r="E54" s="2140"/>
      <c r="F54" s="2097"/>
      <c r="G54" s="2104"/>
      <c r="H54" s="2139"/>
      <c r="I54" s="2139"/>
      <c r="J54" s="2139"/>
      <c r="K54" s="2123"/>
      <c r="L54" s="2097"/>
      <c r="M54" s="2139"/>
      <c r="N54" s="2097"/>
    </row>
    <row r="55" spans="1:14">
      <c r="A55" s="2097"/>
      <c r="B55" s="2147"/>
      <c r="C55" s="2099"/>
      <c r="D55" s="2099"/>
      <c r="E55" s="2097"/>
      <c r="F55" s="2097"/>
      <c r="G55" s="2097"/>
      <c r="H55" s="2097"/>
      <c r="I55" s="2097"/>
      <c r="J55" s="2097"/>
      <c r="K55" s="2097"/>
      <c r="L55" s="2097"/>
      <c r="M55" s="2097"/>
      <c r="N55" s="2097"/>
    </row>
    <row r="56" spans="1:14">
      <c r="A56" s="2097"/>
      <c r="B56" s="2097"/>
      <c r="C56" s="2097"/>
      <c r="D56" s="2097"/>
      <c r="E56" s="2097"/>
      <c r="F56" s="2113"/>
      <c r="G56" s="2113"/>
      <c r="H56" s="2097"/>
      <c r="I56" s="2110"/>
      <c r="J56" s="2104"/>
      <c r="K56" s="2120"/>
      <c r="L56" s="2097"/>
      <c r="M56" s="2097"/>
      <c r="N56" s="2097"/>
    </row>
    <row r="57" spans="1:14">
      <c r="A57" s="2097"/>
      <c r="B57" s="2097"/>
      <c r="C57" s="2097"/>
      <c r="D57" s="2097"/>
      <c r="E57" s="2097"/>
      <c r="F57" s="2113"/>
      <c r="G57" s="2113"/>
      <c r="H57" s="2097"/>
      <c r="I57" s="2110"/>
      <c r="J57" s="2104"/>
      <c r="K57" s="2111"/>
      <c r="L57" s="2097"/>
      <c r="M57" s="2097"/>
      <c r="N57" s="2097"/>
    </row>
    <row r="58" spans="1:14">
      <c r="A58" s="2097"/>
      <c r="B58" s="2097"/>
      <c r="C58" s="2097"/>
      <c r="D58" s="2097"/>
      <c r="E58" s="2097"/>
      <c r="F58" s="2113"/>
      <c r="G58" s="2113"/>
      <c r="H58" s="2097"/>
      <c r="I58" s="2110"/>
      <c r="J58" s="2104"/>
      <c r="K58" s="2111"/>
      <c r="L58" s="2097"/>
      <c r="M58" s="2097"/>
      <c r="N58" s="2097"/>
    </row>
    <row r="59" spans="1:14" ht="15.75">
      <c r="A59" s="2119"/>
      <c r="B59" s="2097"/>
      <c r="C59" s="2097"/>
      <c r="D59" s="2097"/>
      <c r="E59" s="2110"/>
      <c r="F59" s="2107"/>
      <c r="G59" s="2107"/>
      <c r="H59" s="2121"/>
      <c r="I59" s="2110"/>
      <c r="J59" s="2121"/>
      <c r="K59" s="2120"/>
      <c r="L59" s="2097"/>
      <c r="M59" s="2097"/>
      <c r="N59" s="2097"/>
    </row>
    <row r="60" spans="1:14" ht="15.75">
      <c r="A60" s="2119"/>
      <c r="B60" s="2097"/>
      <c r="C60" s="2097"/>
      <c r="D60" s="2097"/>
      <c r="E60" s="2107"/>
      <c r="F60" s="2107"/>
      <c r="G60" s="2107"/>
      <c r="H60" s="2107"/>
      <c r="I60" s="2107"/>
      <c r="J60" s="2107"/>
      <c r="K60" s="2107"/>
      <c r="L60" s="2097"/>
      <c r="M60" s="2119"/>
      <c r="N60" s="2097"/>
    </row>
    <row r="61" spans="1:14">
      <c r="A61" s="2097"/>
      <c r="B61" s="2097"/>
      <c r="C61" s="2097"/>
      <c r="D61" s="2117"/>
      <c r="E61" s="2117"/>
      <c r="F61" s="2117"/>
      <c r="G61" s="2117"/>
      <c r="H61" s="2139"/>
      <c r="I61" s="2097"/>
      <c r="J61" s="2097"/>
      <c r="K61" s="2097"/>
      <c r="L61" s="2097"/>
      <c r="M61" s="2100"/>
      <c r="N61" s="2097"/>
    </row>
    <row r="62" spans="1:14">
      <c r="A62" s="2097"/>
      <c r="B62" s="2097"/>
      <c r="C62" s="2097"/>
      <c r="D62" s="2097"/>
      <c r="E62" s="2117"/>
      <c r="F62" s="2156"/>
      <c r="G62" s="2097"/>
      <c r="H62" s="2115"/>
      <c r="I62" s="2097"/>
      <c r="J62" s="2097"/>
      <c r="K62" s="2097"/>
      <c r="L62" s="2097"/>
      <c r="M62" s="2126"/>
      <c r="N62" s="2097"/>
    </row>
    <row r="63" spans="1:14">
      <c r="A63" s="2097"/>
      <c r="B63" s="2097"/>
      <c r="C63" s="2097"/>
      <c r="D63" s="2097"/>
      <c r="E63" s="2117"/>
      <c r="F63" s="2156"/>
      <c r="G63" s="2097"/>
      <c r="H63" s="2115"/>
      <c r="I63" s="2097"/>
      <c r="J63" s="2097"/>
      <c r="K63" s="2097"/>
      <c r="L63" s="2097"/>
      <c r="M63" s="2097"/>
      <c r="N63" s="2097"/>
    </row>
    <row r="64" spans="1:14">
      <c r="A64" s="2097"/>
      <c r="B64" s="2097"/>
      <c r="C64" s="2097"/>
      <c r="D64" s="2097"/>
      <c r="E64" s="2097"/>
      <c r="F64" s="2156"/>
      <c r="G64" s="2097"/>
      <c r="H64" s="2097"/>
      <c r="I64" s="2097"/>
      <c r="J64" s="2097"/>
      <c r="K64" s="2097"/>
      <c r="L64" s="2097"/>
      <c r="M64" s="2097"/>
      <c r="N64" s="2097"/>
    </row>
    <row r="65" spans="1:14">
      <c r="A65" s="2097"/>
      <c r="B65" s="2097"/>
      <c r="C65" s="2097"/>
      <c r="D65" s="2097"/>
      <c r="E65" s="2110"/>
      <c r="F65" s="2113"/>
      <c r="G65" s="2107"/>
      <c r="H65" s="2097"/>
      <c r="I65" s="2110"/>
      <c r="J65" s="2107"/>
      <c r="K65" s="2120"/>
      <c r="L65" s="2097"/>
      <c r="M65" s="2139"/>
      <c r="N65" s="2097"/>
    </row>
    <row r="66" spans="1:14">
      <c r="A66" s="2097"/>
      <c r="B66" s="2097"/>
      <c r="C66" s="2097"/>
      <c r="D66" s="2097"/>
      <c r="E66" s="2097"/>
      <c r="F66" s="2104"/>
      <c r="G66" s="2111"/>
      <c r="H66" s="2100"/>
      <c r="I66" s="2097"/>
      <c r="J66" s="2097"/>
      <c r="K66" s="2146"/>
      <c r="L66" s="2097"/>
      <c r="M66" s="2097"/>
      <c r="N66" s="2097"/>
    </row>
    <row r="67" spans="1:14">
      <c r="A67" s="2097"/>
      <c r="B67" s="2097"/>
      <c r="C67" s="2097"/>
      <c r="D67" s="2097"/>
      <c r="E67" s="2097"/>
      <c r="F67" s="2104"/>
      <c r="G67" s="2111"/>
      <c r="H67" s="2100"/>
      <c r="I67" s="2097"/>
      <c r="J67" s="2097"/>
      <c r="K67" s="2146"/>
      <c r="L67" s="2097"/>
      <c r="M67" s="2097"/>
      <c r="N67" s="2097"/>
    </row>
    <row r="68" spans="1:14" ht="15.75">
      <c r="A68" s="2119"/>
      <c r="B68" s="2097"/>
      <c r="C68" s="2097"/>
      <c r="D68" s="2097"/>
      <c r="E68" s="2119"/>
      <c r="F68" s="2119"/>
      <c r="G68" s="2097"/>
      <c r="H68" s="2119"/>
      <c r="I68" s="2135"/>
      <c r="J68" s="2135"/>
      <c r="K68" s="2135"/>
      <c r="L68" s="2097"/>
      <c r="M68" s="2119"/>
      <c r="N68" s="2097"/>
    </row>
    <row r="69" spans="1:14">
      <c r="A69" s="2097"/>
      <c r="B69" s="2105"/>
      <c r="C69" s="2097"/>
      <c r="D69" s="2097"/>
      <c r="E69" s="2114"/>
      <c r="F69" s="2099"/>
      <c r="G69" s="2097"/>
      <c r="H69" s="2100"/>
      <c r="I69" s="2104"/>
      <c r="J69" s="2104"/>
      <c r="K69" s="2117"/>
      <c r="L69" s="2097"/>
      <c r="M69" s="2100"/>
      <c r="N69" s="2097"/>
    </row>
    <row r="70" spans="1:14">
      <c r="A70" s="2097"/>
      <c r="B70" s="2097"/>
      <c r="C70" s="2148"/>
      <c r="D70" s="2097"/>
      <c r="E70" s="2114"/>
      <c r="F70" s="2099"/>
      <c r="G70" s="2097"/>
      <c r="H70" s="2126"/>
      <c r="I70" s="2126"/>
      <c r="J70" s="2126"/>
      <c r="K70" s="2126"/>
      <c r="L70" s="2097"/>
      <c r="M70" s="2126"/>
      <c r="N70" s="2097"/>
    </row>
    <row r="71" spans="1:14">
      <c r="A71" s="2099"/>
      <c r="B71" s="2099"/>
      <c r="C71" s="2155"/>
      <c r="D71" s="2099"/>
      <c r="E71" s="2140"/>
      <c r="F71" s="2099"/>
      <c r="G71" s="2097"/>
      <c r="H71" s="2097"/>
      <c r="I71" s="2097"/>
      <c r="J71" s="2097"/>
      <c r="K71" s="2097"/>
      <c r="L71" s="2097"/>
      <c r="M71" s="2097"/>
      <c r="N71" s="2097"/>
    </row>
    <row r="72" spans="1:14">
      <c r="A72" s="2099"/>
      <c r="B72" s="2105"/>
      <c r="C72" s="2097"/>
      <c r="D72" s="2099"/>
      <c r="E72" s="2154"/>
      <c r="F72" s="2099"/>
      <c r="G72" s="2097"/>
      <c r="H72" s="2097"/>
      <c r="I72" s="2097"/>
      <c r="J72" s="2097"/>
      <c r="K72" s="2097"/>
      <c r="L72" s="2097"/>
      <c r="M72" s="2097"/>
      <c r="N72" s="2097"/>
    </row>
    <row r="73" spans="1:14">
      <c r="A73" s="2097"/>
      <c r="B73" s="2097"/>
      <c r="C73" s="2148"/>
      <c r="D73" s="2097"/>
      <c r="E73" s="2135"/>
      <c r="F73" s="2097"/>
      <c r="G73" s="2097"/>
      <c r="H73" s="2115"/>
      <c r="I73" s="2115"/>
      <c r="J73" s="2115"/>
      <c r="K73" s="2129"/>
      <c r="L73" s="2097"/>
      <c r="M73" s="2142"/>
      <c r="N73" s="2097"/>
    </row>
    <row r="74" spans="1:14">
      <c r="A74" s="2097"/>
      <c r="B74" s="2097"/>
      <c r="C74" s="2148"/>
      <c r="D74" s="2097"/>
      <c r="E74" s="2097"/>
      <c r="F74" s="2097"/>
      <c r="G74" s="2097"/>
      <c r="H74" s="2115"/>
      <c r="I74" s="2115"/>
      <c r="J74" s="2115"/>
      <c r="K74" s="2153"/>
      <c r="L74" s="2097"/>
      <c r="M74" s="2142"/>
      <c r="N74" s="2097"/>
    </row>
    <row r="75" spans="1:14">
      <c r="A75" s="2097"/>
      <c r="B75" s="2152"/>
      <c r="C75" s="2099"/>
      <c r="D75" s="2099"/>
      <c r="E75" s="2097"/>
      <c r="F75" s="2097"/>
      <c r="G75" s="2097"/>
      <c r="H75" s="2151"/>
      <c r="I75" s="2097"/>
      <c r="J75" s="2097"/>
      <c r="K75" s="2145"/>
      <c r="L75" s="2097"/>
      <c r="M75" s="2142"/>
      <c r="N75" s="2097"/>
    </row>
    <row r="76" spans="1:14">
      <c r="A76" s="2097"/>
      <c r="B76" s="2150"/>
      <c r="C76" s="2140"/>
      <c r="D76" s="2099"/>
      <c r="E76" s="2097"/>
      <c r="F76" s="2097"/>
      <c r="G76" s="2097"/>
      <c r="H76" s="2115"/>
      <c r="I76" s="2115"/>
      <c r="J76" s="2115"/>
      <c r="K76" s="2129"/>
      <c r="L76" s="2097"/>
      <c r="M76" s="2142"/>
      <c r="N76" s="2097"/>
    </row>
    <row r="77" spans="1:14">
      <c r="A77" s="2097"/>
      <c r="B77" s="2149"/>
      <c r="C77" s="2141"/>
      <c r="D77" s="2097"/>
      <c r="E77" s="2097"/>
      <c r="F77" s="2097"/>
      <c r="G77" s="2097"/>
      <c r="H77" s="2115"/>
      <c r="I77" s="2143"/>
      <c r="J77" s="2143"/>
      <c r="K77" s="2129"/>
      <c r="L77" s="2097"/>
      <c r="M77" s="2142"/>
      <c r="N77" s="2097"/>
    </row>
    <row r="78" spans="1:14">
      <c r="A78" s="2097"/>
      <c r="B78" s="2149"/>
      <c r="C78" s="2140"/>
      <c r="D78" s="2097"/>
      <c r="E78" s="2097"/>
      <c r="F78" s="2097"/>
      <c r="G78" s="2097"/>
      <c r="H78" s="2115"/>
      <c r="I78" s="2115"/>
      <c r="J78" s="2115"/>
      <c r="K78" s="2129"/>
      <c r="L78" s="2097"/>
      <c r="M78" s="2142"/>
      <c r="N78" s="2097"/>
    </row>
    <row r="79" spans="1:14">
      <c r="A79" s="2097"/>
      <c r="B79" s="2149"/>
      <c r="C79" s="2141"/>
      <c r="D79" s="2097"/>
      <c r="E79" s="2097"/>
      <c r="F79" s="2097"/>
      <c r="G79" s="2097"/>
      <c r="H79" s="2115"/>
      <c r="I79" s="2143"/>
      <c r="J79" s="2143"/>
      <c r="K79" s="2129"/>
      <c r="L79" s="2097"/>
      <c r="M79" s="2142"/>
      <c r="N79" s="2097"/>
    </row>
    <row r="80" spans="1:14">
      <c r="A80" s="2097"/>
      <c r="B80" s="2149"/>
      <c r="C80" s="2140"/>
      <c r="D80" s="2097"/>
      <c r="E80" s="2097"/>
      <c r="F80" s="2097"/>
      <c r="G80" s="2097"/>
      <c r="H80" s="2115"/>
      <c r="I80" s="2115"/>
      <c r="J80" s="2115"/>
      <c r="K80" s="2129"/>
      <c r="L80" s="2097"/>
      <c r="M80" s="2142"/>
      <c r="N80" s="2097"/>
    </row>
    <row r="81" spans="1:14">
      <c r="A81" s="2097"/>
      <c r="B81" s="2097"/>
      <c r="C81" s="2128"/>
      <c r="D81" s="2097"/>
      <c r="E81" s="2097"/>
      <c r="F81" s="2097"/>
      <c r="G81" s="2097"/>
      <c r="H81" s="2115"/>
      <c r="I81" s="2115"/>
      <c r="J81" s="2115"/>
      <c r="K81" s="2129"/>
      <c r="L81" s="2097"/>
      <c r="M81" s="2142"/>
      <c r="N81" s="2097"/>
    </row>
    <row r="82" spans="1:14">
      <c r="A82" s="2097"/>
      <c r="B82" s="2105"/>
      <c r="C82" s="2128"/>
      <c r="D82" s="2097"/>
      <c r="E82" s="2097"/>
      <c r="F82" s="2097"/>
      <c r="G82" s="2097"/>
      <c r="H82" s="2115"/>
      <c r="I82" s="2115"/>
      <c r="J82" s="2115"/>
      <c r="K82" s="2129"/>
      <c r="L82" s="2097"/>
      <c r="M82" s="2142"/>
      <c r="N82" s="2097"/>
    </row>
    <row r="83" spans="1:14">
      <c r="A83" s="2097"/>
      <c r="B83" s="2097"/>
      <c r="C83" s="2148"/>
      <c r="D83" s="2097"/>
      <c r="E83" s="2097"/>
      <c r="F83" s="2097"/>
      <c r="G83" s="2097"/>
      <c r="H83" s="2115"/>
      <c r="I83" s="2115"/>
      <c r="J83" s="2115"/>
      <c r="K83" s="2129"/>
      <c r="L83" s="2097"/>
      <c r="M83" s="2142"/>
      <c r="N83" s="2097"/>
    </row>
    <row r="84" spans="1:14">
      <c r="A84" s="2097"/>
      <c r="B84" s="2147"/>
      <c r="C84" s="2099"/>
      <c r="D84" s="2099"/>
      <c r="E84" s="2140"/>
      <c r="F84" s="2097"/>
      <c r="G84" s="2104"/>
      <c r="H84" s="2139"/>
      <c r="I84" s="2139"/>
      <c r="J84" s="2139"/>
      <c r="K84" s="2123"/>
      <c r="L84" s="2097"/>
      <c r="M84" s="2139"/>
      <c r="N84" s="2097"/>
    </row>
    <row r="85" spans="1:14">
      <c r="A85" s="2097"/>
      <c r="B85" s="2147"/>
      <c r="C85" s="2099"/>
      <c r="D85" s="2099"/>
      <c r="E85" s="2097"/>
      <c r="F85" s="2097"/>
      <c r="G85" s="2097"/>
      <c r="H85" s="2097"/>
      <c r="I85" s="2097"/>
      <c r="J85" s="2097"/>
      <c r="K85" s="2097"/>
      <c r="L85" s="2097"/>
      <c r="M85" s="2097"/>
      <c r="N85" s="2097"/>
    </row>
    <row r="86" spans="1:14">
      <c r="A86" s="2097"/>
      <c r="B86" s="2097"/>
      <c r="C86" s="2097"/>
      <c r="D86" s="2097"/>
      <c r="E86" s="2097"/>
      <c r="F86" s="2113"/>
      <c r="G86" s="2113"/>
      <c r="H86" s="2097"/>
      <c r="I86" s="2110"/>
      <c r="J86" s="2104"/>
      <c r="K86" s="2120"/>
      <c r="L86" s="2097"/>
      <c r="M86" s="2097"/>
      <c r="N86" s="2097"/>
    </row>
    <row r="87" spans="1:14">
      <c r="A87" s="2097"/>
      <c r="B87" s="2097"/>
      <c r="C87" s="2097"/>
      <c r="D87" s="2097"/>
      <c r="E87" s="2097"/>
      <c r="F87" s="2104"/>
      <c r="G87" s="2111"/>
      <c r="H87" s="2100"/>
      <c r="I87" s="2097"/>
      <c r="J87" s="2097"/>
      <c r="K87" s="2146"/>
      <c r="L87" s="2097"/>
      <c r="M87" s="2097"/>
      <c r="N87" s="2097"/>
    </row>
    <row r="88" spans="1:14">
      <c r="A88" s="2104"/>
      <c r="B88" s="2111"/>
      <c r="C88" s="2100"/>
      <c r="D88" s="2097"/>
      <c r="E88" s="2097"/>
      <c r="F88" s="2097"/>
      <c r="G88" s="2097"/>
      <c r="H88" s="2097"/>
      <c r="I88" s="2117"/>
      <c r="J88" s="2097"/>
      <c r="K88" s="2097"/>
      <c r="L88" s="2097"/>
      <c r="M88" s="2097"/>
      <c r="N88" s="2097"/>
    </row>
    <row r="89" spans="1:14" ht="15.75">
      <c r="A89" s="2119"/>
      <c r="B89" s="2119"/>
      <c r="C89" s="2097"/>
      <c r="D89" s="2097"/>
      <c r="E89" s="2119"/>
      <c r="F89" s="2119"/>
      <c r="G89" s="2097"/>
      <c r="H89" s="2119"/>
      <c r="I89" s="2135"/>
      <c r="J89" s="2135"/>
      <c r="K89" s="2135"/>
      <c r="L89" s="2097"/>
      <c r="M89" s="2119"/>
      <c r="N89" s="2097"/>
    </row>
    <row r="90" spans="1:14">
      <c r="A90" s="2097"/>
      <c r="B90" s="2105"/>
      <c r="C90" s="2141"/>
      <c r="D90" s="2097"/>
      <c r="E90" s="2135"/>
      <c r="F90" s="2099"/>
      <c r="G90" s="2145"/>
      <c r="H90" s="2100"/>
      <c r="I90" s="2104"/>
      <c r="J90" s="2104"/>
      <c r="K90" s="2117"/>
      <c r="L90" s="2097"/>
      <c r="M90" s="2100"/>
      <c r="N90" s="2097"/>
    </row>
    <row r="91" spans="1:14">
      <c r="A91" s="2097"/>
      <c r="B91" s="2097"/>
      <c r="C91" s="2128"/>
      <c r="D91" s="2097"/>
      <c r="E91" s="2140"/>
      <c r="F91" s="2099"/>
      <c r="G91" s="2145"/>
      <c r="H91" s="2126"/>
      <c r="I91" s="2126"/>
      <c r="J91" s="2126"/>
      <c r="K91" s="2126"/>
      <c r="L91" s="2097"/>
      <c r="M91" s="2126"/>
      <c r="N91" s="2097"/>
    </row>
    <row r="92" spans="1:14">
      <c r="A92" s="2097"/>
      <c r="B92" s="2105"/>
      <c r="C92" s="2128"/>
      <c r="D92" s="2097"/>
      <c r="E92" s="2135"/>
      <c r="F92" s="2097"/>
      <c r="G92" s="2097"/>
      <c r="H92" s="2097"/>
      <c r="I92" s="2097"/>
      <c r="J92" s="2097"/>
      <c r="K92" s="2097"/>
      <c r="L92" s="2097"/>
      <c r="M92" s="2097"/>
      <c r="N92" s="2097"/>
    </row>
    <row r="93" spans="1:14">
      <c r="A93" s="2097"/>
      <c r="B93" s="2097"/>
      <c r="C93" s="2125"/>
      <c r="D93" s="2097"/>
      <c r="E93" s="2143"/>
      <c r="F93" s="2097"/>
      <c r="G93" s="2097"/>
      <c r="H93" s="2115"/>
      <c r="I93" s="2115"/>
      <c r="J93" s="2115"/>
      <c r="K93" s="2123"/>
      <c r="L93" s="2097"/>
      <c r="M93" s="2142"/>
      <c r="N93" s="2097"/>
    </row>
    <row r="94" spans="1:14">
      <c r="A94" s="2097"/>
      <c r="B94" s="2117"/>
      <c r="C94" s="2144"/>
      <c r="D94" s="2097"/>
      <c r="E94" s="2097"/>
      <c r="F94" s="2097"/>
      <c r="G94" s="2097"/>
      <c r="H94" s="2115"/>
      <c r="I94" s="2115"/>
      <c r="J94" s="2115"/>
      <c r="K94" s="2123"/>
      <c r="L94" s="2097"/>
      <c r="M94" s="2142"/>
      <c r="N94" s="2097"/>
    </row>
    <row r="95" spans="1:14">
      <c r="A95" s="2097"/>
      <c r="B95" s="2097"/>
      <c r="C95" s="2125"/>
      <c r="D95" s="2097"/>
      <c r="E95" s="2143"/>
      <c r="F95" s="2097"/>
      <c r="G95" s="2097"/>
      <c r="H95" s="2115"/>
      <c r="I95" s="2115"/>
      <c r="J95" s="2115"/>
      <c r="K95" s="2123"/>
      <c r="L95" s="2097"/>
      <c r="M95" s="2142"/>
      <c r="N95" s="2097"/>
    </row>
    <row r="96" spans="1:14">
      <c r="A96" s="2097"/>
      <c r="B96" s="2105"/>
      <c r="C96" s="2128"/>
      <c r="D96" s="2097"/>
      <c r="E96" s="2097"/>
      <c r="F96" s="2097"/>
      <c r="G96" s="2097"/>
      <c r="H96" s="2115"/>
      <c r="I96" s="2115"/>
      <c r="J96" s="2115"/>
      <c r="K96" s="2115"/>
      <c r="L96" s="2097"/>
      <c r="M96" s="2142"/>
      <c r="N96" s="2097"/>
    </row>
    <row r="97" spans="1:14">
      <c r="A97" s="2104"/>
      <c r="B97" s="2097"/>
      <c r="C97" s="2125"/>
      <c r="D97" s="2097"/>
      <c r="E97" s="2097"/>
      <c r="F97" s="2097"/>
      <c r="G97" s="2097"/>
      <c r="H97" s="2115"/>
      <c r="I97" s="2115"/>
      <c r="J97" s="2115"/>
      <c r="K97" s="2123"/>
      <c r="L97" s="2097"/>
      <c r="M97" s="2142"/>
      <c r="N97" s="2097"/>
    </row>
    <row r="98" spans="1:14">
      <c r="A98" s="2097"/>
      <c r="B98" s="2097"/>
      <c r="C98" s="2097"/>
      <c r="D98" s="2097"/>
      <c r="E98" s="2097"/>
      <c r="F98" s="2113"/>
      <c r="G98" s="2113"/>
      <c r="H98" s="2097"/>
      <c r="I98" s="2110"/>
      <c r="J98" s="2104"/>
      <c r="K98" s="2120"/>
      <c r="L98" s="2097"/>
      <c r="M98" s="2139"/>
      <c r="N98" s="2097"/>
    </row>
    <row r="99" spans="1:14">
      <c r="A99" s="2097"/>
      <c r="B99" s="2097"/>
      <c r="C99" s="2097"/>
      <c r="D99" s="2097"/>
      <c r="E99" s="2097"/>
      <c r="F99" s="2113"/>
      <c r="G99" s="2113"/>
      <c r="H99" s="2097"/>
      <c r="I99" s="2110"/>
      <c r="J99" s="2104"/>
      <c r="K99" s="2120"/>
      <c r="L99" s="2097"/>
      <c r="M99" s="2097"/>
      <c r="N99" s="2097"/>
    </row>
    <row r="100" spans="1:14">
      <c r="A100" s="2097"/>
      <c r="B100" s="2097"/>
      <c r="C100" s="2097"/>
      <c r="D100" s="2097"/>
      <c r="E100" s="2097"/>
      <c r="F100" s="2113"/>
      <c r="G100" s="2113"/>
      <c r="H100" s="2097"/>
      <c r="I100" s="2110"/>
      <c r="J100" s="2104"/>
      <c r="K100" s="2120"/>
      <c r="L100" s="2097"/>
      <c r="M100" s="2097"/>
      <c r="N100" s="2097"/>
    </row>
    <row r="101" spans="1:14" ht="15.75">
      <c r="A101" s="2119"/>
      <c r="B101" s="2097"/>
      <c r="C101" s="2097"/>
      <c r="D101" s="2097"/>
      <c r="E101" s="2119"/>
      <c r="F101" s="2097"/>
      <c r="G101" s="2097"/>
      <c r="H101" s="2097"/>
      <c r="I101" s="2097"/>
      <c r="J101" s="2097"/>
      <c r="K101" s="2097"/>
      <c r="L101" s="2097"/>
      <c r="M101" s="2119"/>
      <c r="N101" s="2097"/>
    </row>
    <row r="102" spans="1:14">
      <c r="A102" s="2097"/>
      <c r="B102" s="2105"/>
      <c r="C102" s="2141"/>
      <c r="D102" s="2097"/>
      <c r="E102" s="2135"/>
      <c r="F102" s="2099"/>
      <c r="G102" s="2097"/>
      <c r="H102" s="2100"/>
      <c r="I102" s="2104"/>
      <c r="J102" s="2104"/>
      <c r="K102" s="2117"/>
      <c r="L102" s="2097"/>
      <c r="M102" s="2100"/>
      <c r="N102" s="2097"/>
    </row>
    <row r="103" spans="1:14">
      <c r="A103" s="2097"/>
      <c r="B103" s="2097"/>
      <c r="C103" s="2128"/>
      <c r="D103" s="2097"/>
      <c r="E103" s="2140"/>
      <c r="F103" s="2099"/>
      <c r="G103" s="2097"/>
      <c r="H103" s="2126"/>
      <c r="I103" s="2126"/>
      <c r="J103" s="2126"/>
      <c r="K103" s="2126"/>
      <c r="L103" s="2097"/>
      <c r="M103" s="2126"/>
      <c r="N103" s="2097"/>
    </row>
    <row r="104" spans="1:14">
      <c r="A104" s="2097"/>
      <c r="B104" s="2105"/>
      <c r="C104" s="2128"/>
      <c r="D104" s="2097"/>
      <c r="E104" s="2097"/>
      <c r="F104" s="2097"/>
      <c r="G104" s="2097"/>
      <c r="H104" s="2115"/>
      <c r="I104" s="2115"/>
      <c r="J104" s="2115"/>
      <c r="K104" s="2115"/>
      <c r="L104" s="2097"/>
      <c r="M104" s="2097"/>
      <c r="N104" s="2097"/>
    </row>
    <row r="105" spans="1:14">
      <c r="A105" s="2097"/>
      <c r="B105" s="2097"/>
      <c r="C105" s="2125"/>
      <c r="D105" s="2097"/>
      <c r="E105" s="2097"/>
      <c r="F105" s="2097"/>
      <c r="G105" s="2097"/>
      <c r="H105" s="2115"/>
      <c r="I105" s="2115"/>
      <c r="J105" s="2115"/>
      <c r="K105" s="2123"/>
      <c r="L105" s="2097"/>
      <c r="M105" s="2139"/>
      <c r="N105" s="2097"/>
    </row>
    <row r="106" spans="1:14">
      <c r="A106" s="2097"/>
      <c r="B106" s="2097"/>
      <c r="C106" s="2128"/>
      <c r="D106" s="2097"/>
      <c r="E106" s="2097"/>
      <c r="F106" s="2113"/>
      <c r="G106" s="2113"/>
      <c r="H106" s="2097"/>
      <c r="I106" s="2110"/>
      <c r="J106" s="2104"/>
      <c r="K106" s="2120"/>
      <c r="L106" s="2097"/>
      <c r="M106" s="2097"/>
      <c r="N106" s="2097"/>
    </row>
    <row r="107" spans="1:14">
      <c r="A107" s="2097"/>
      <c r="B107" s="2097"/>
      <c r="C107" s="2097"/>
      <c r="D107" s="2097"/>
      <c r="E107" s="2097"/>
      <c r="F107" s="2113"/>
      <c r="G107" s="2113"/>
      <c r="H107" s="2097"/>
      <c r="I107" s="2110"/>
      <c r="J107" s="2104"/>
      <c r="K107" s="2123"/>
      <c r="L107" s="2097"/>
      <c r="M107" s="2097"/>
      <c r="N107" s="2097"/>
    </row>
    <row r="108" spans="1:14">
      <c r="A108" s="2097"/>
      <c r="B108" s="2097"/>
      <c r="C108" s="2097"/>
      <c r="D108" s="2097"/>
      <c r="E108" s="2097"/>
      <c r="F108" s="2113"/>
      <c r="G108" s="2113"/>
      <c r="H108" s="2097"/>
      <c r="I108" s="2110"/>
      <c r="J108" s="2104"/>
      <c r="K108" s="2123"/>
      <c r="L108" s="2097"/>
      <c r="M108" s="2097"/>
      <c r="N108" s="2097"/>
    </row>
    <row r="109" spans="1:14" ht="15.75">
      <c r="A109" s="2119"/>
      <c r="B109" s="2111"/>
      <c r="C109" s="2100"/>
      <c r="D109" s="2097"/>
      <c r="E109" s="2097"/>
      <c r="F109" s="2097"/>
      <c r="G109" s="2097"/>
      <c r="H109" s="2097"/>
      <c r="I109" s="2097"/>
      <c r="J109" s="2097"/>
      <c r="K109" s="2104"/>
      <c r="L109" s="2097"/>
      <c r="M109" s="2097"/>
      <c r="N109" s="2097"/>
    </row>
    <row r="110" spans="1:14" ht="15.75">
      <c r="A110" s="2119"/>
      <c r="B110" s="2138"/>
      <c r="C110" s="2105"/>
      <c r="D110" s="2097"/>
      <c r="E110" s="2097"/>
      <c r="F110" s="2097"/>
      <c r="G110" s="2097"/>
      <c r="H110" s="2097"/>
      <c r="I110" s="2097"/>
      <c r="J110" s="2097"/>
      <c r="K110" s="2117"/>
      <c r="L110" s="2097"/>
      <c r="M110" s="2097"/>
      <c r="N110" s="2097"/>
    </row>
    <row r="111" spans="1:14" ht="15.75">
      <c r="A111" s="2119"/>
      <c r="B111" s="2105"/>
      <c r="C111" s="2137"/>
      <c r="D111" s="2136"/>
      <c r="E111" s="2134"/>
      <c r="F111" s="3244"/>
      <c r="G111" s="3244"/>
      <c r="H111" s="3244"/>
      <c r="I111" s="3244"/>
      <c r="J111" s="3244"/>
      <c r="K111" s="3244"/>
      <c r="L111" s="2097"/>
      <c r="M111" s="2097"/>
      <c r="N111" s="2097"/>
    </row>
    <row r="112" spans="1:14" ht="15.75">
      <c r="A112" s="2119"/>
      <c r="B112" s="2126"/>
      <c r="C112" s="2137"/>
      <c r="D112" s="2136"/>
      <c r="E112" s="2135"/>
      <c r="F112" s="3244"/>
      <c r="G112" s="3244"/>
      <c r="H112" s="3244"/>
      <c r="I112" s="3244"/>
      <c r="J112" s="3244"/>
      <c r="K112" s="3244"/>
      <c r="L112" s="2097"/>
      <c r="M112" s="2097"/>
      <c r="N112" s="2097"/>
    </row>
    <row r="113" spans="1:14" ht="15.75">
      <c r="A113" s="2119"/>
      <c r="B113" s="2105"/>
      <c r="C113" s="2133"/>
      <c r="D113" s="2097"/>
      <c r="E113" s="2134"/>
      <c r="F113" s="3245"/>
      <c r="G113" s="3245"/>
      <c r="H113" s="3245"/>
      <c r="I113" s="3245"/>
      <c r="J113" s="3245"/>
      <c r="K113" s="3245"/>
      <c r="L113" s="2097"/>
      <c r="M113" s="2097"/>
      <c r="N113" s="2097"/>
    </row>
    <row r="114" spans="1:14" ht="15.75">
      <c r="A114" s="2119"/>
      <c r="B114" s="2111"/>
      <c r="C114" s="1106"/>
      <c r="D114" s="2097"/>
      <c r="E114" s="2132"/>
      <c r="F114" s="3245"/>
      <c r="G114" s="3245"/>
      <c r="H114" s="3245"/>
      <c r="I114" s="3245"/>
      <c r="J114" s="3245"/>
      <c r="K114" s="3245"/>
      <c r="L114" s="2097"/>
      <c r="M114" s="2097"/>
      <c r="N114" s="2097"/>
    </row>
    <row r="115" spans="1:14" ht="15.75">
      <c r="A115" s="2119"/>
      <c r="B115" s="2111"/>
      <c r="C115" s="2133"/>
      <c r="D115" s="2097"/>
      <c r="E115" s="2132"/>
      <c r="F115" s="2131"/>
      <c r="G115" s="2131"/>
      <c r="H115" s="2100"/>
      <c r="I115" s="2104"/>
      <c r="J115" s="2131"/>
      <c r="K115" s="2131"/>
      <c r="L115" s="2097"/>
      <c r="M115" s="2097"/>
      <c r="N115" s="2097"/>
    </row>
    <row r="116" spans="1:14" ht="15.75">
      <c r="A116" s="2119"/>
      <c r="B116" s="2111"/>
      <c r="C116" s="2133"/>
      <c r="D116" s="2097"/>
      <c r="E116" s="2132"/>
      <c r="F116" s="2131"/>
      <c r="G116" s="2131"/>
      <c r="H116" s="2126"/>
      <c r="I116" s="2126"/>
      <c r="J116" s="2126"/>
      <c r="K116" s="2126"/>
      <c r="L116" s="2097"/>
      <c r="M116" s="2097"/>
      <c r="N116" s="2097"/>
    </row>
    <row r="117" spans="1:14" ht="15.75">
      <c r="A117" s="2119"/>
      <c r="B117" s="2129"/>
      <c r="C117" s="2123"/>
      <c r="D117" s="2130"/>
      <c r="E117" s="2097"/>
      <c r="F117" s="2097"/>
      <c r="G117" s="2097"/>
      <c r="H117" s="2115"/>
      <c r="I117" s="2115"/>
      <c r="J117" s="2115"/>
      <c r="K117" s="2129"/>
      <c r="L117" s="2097"/>
      <c r="M117" s="2097"/>
      <c r="N117" s="2097"/>
    </row>
    <row r="118" spans="1:14" ht="15.75">
      <c r="A118" s="2119"/>
      <c r="B118" s="2111"/>
      <c r="C118" s="2100"/>
      <c r="D118" s="2097"/>
      <c r="E118" s="2097"/>
      <c r="F118" s="2097"/>
      <c r="G118" s="2097"/>
      <c r="H118" s="2115"/>
      <c r="I118" s="2115"/>
      <c r="J118" s="2115"/>
      <c r="K118" s="2123"/>
      <c r="L118" s="2097"/>
      <c r="M118" s="2097"/>
      <c r="N118" s="2097"/>
    </row>
    <row r="119" spans="1:14">
      <c r="A119" s="2097"/>
      <c r="B119" s="2126"/>
      <c r="C119" s="2125"/>
      <c r="D119" s="2124"/>
      <c r="E119" s="2097"/>
      <c r="F119" s="2097"/>
      <c r="G119" s="2097"/>
      <c r="H119" s="2115"/>
      <c r="I119" s="2115"/>
      <c r="J119" s="2115"/>
      <c r="K119" s="2129"/>
      <c r="L119" s="2097"/>
      <c r="M119" s="2097"/>
      <c r="N119" s="2097"/>
    </row>
    <row r="120" spans="1:14">
      <c r="A120" s="2097"/>
      <c r="B120" s="2126"/>
      <c r="C120" s="2126"/>
      <c r="D120" s="2124"/>
      <c r="E120" s="2097"/>
      <c r="F120" s="2097"/>
      <c r="G120" s="2097"/>
      <c r="H120" s="2097"/>
      <c r="I120" s="2097"/>
      <c r="J120" s="2115"/>
      <c r="K120" s="2123"/>
      <c r="L120" s="2097"/>
      <c r="M120" s="2097"/>
      <c r="N120" s="2097"/>
    </row>
    <row r="121" spans="1:14" ht="15.75">
      <c r="A121" s="2119"/>
      <c r="B121" s="2111"/>
      <c r="C121" s="2100"/>
      <c r="D121" s="2097"/>
      <c r="E121" s="2097"/>
      <c r="F121" s="2097"/>
      <c r="G121" s="2097"/>
      <c r="H121" s="2100"/>
      <c r="I121" s="2104"/>
      <c r="J121" s="2104"/>
      <c r="K121" s="2117"/>
      <c r="L121" s="2097"/>
      <c r="M121" s="2097"/>
      <c r="N121" s="2097"/>
    </row>
    <row r="122" spans="1:14">
      <c r="A122" s="2097"/>
      <c r="B122" s="2097"/>
      <c r="C122" s="2128"/>
      <c r="D122" s="2097"/>
      <c r="E122" s="2097"/>
      <c r="F122" s="2113"/>
      <c r="G122" s="2113"/>
      <c r="H122" s="2097"/>
      <c r="I122" s="2110"/>
      <c r="J122" s="2104"/>
      <c r="K122" s="2120"/>
      <c r="L122" s="2097"/>
      <c r="M122" s="2097"/>
      <c r="N122" s="2097"/>
    </row>
    <row r="123" spans="1:14">
      <c r="A123" s="2097"/>
      <c r="B123" s="2097"/>
      <c r="C123" s="2128"/>
      <c r="D123" s="2097"/>
      <c r="E123" s="2097"/>
      <c r="F123" s="2113"/>
      <c r="G123" s="2113"/>
      <c r="H123" s="2097"/>
      <c r="I123" s="2110"/>
      <c r="J123" s="2104"/>
      <c r="K123" s="2122"/>
      <c r="L123" s="2097"/>
      <c r="M123" s="2097"/>
      <c r="N123" s="2097"/>
    </row>
    <row r="124" spans="1:14">
      <c r="A124" s="2097"/>
      <c r="B124" s="2097"/>
      <c r="C124" s="2128"/>
      <c r="D124" s="2097"/>
      <c r="E124" s="2097"/>
      <c r="F124" s="2113"/>
      <c r="G124" s="2113"/>
      <c r="H124" s="2097"/>
      <c r="I124" s="2110"/>
      <c r="J124" s="2104"/>
      <c r="K124" s="2122"/>
      <c r="L124" s="2097"/>
      <c r="M124" s="2097"/>
      <c r="N124" s="2097"/>
    </row>
    <row r="125" spans="1:14" ht="15.75">
      <c r="A125" s="2119"/>
      <c r="B125" s="2111"/>
      <c r="C125" s="2127"/>
      <c r="D125" s="2097"/>
      <c r="E125" s="2097"/>
      <c r="F125" s="2097"/>
      <c r="G125" s="2097"/>
      <c r="H125" s="2097"/>
      <c r="I125" s="2097"/>
      <c r="J125" s="2097"/>
      <c r="K125" s="2104"/>
      <c r="L125" s="2097"/>
      <c r="M125" s="2097"/>
      <c r="N125" s="2097"/>
    </row>
    <row r="126" spans="1:14" ht="15.75">
      <c r="A126" s="2119"/>
      <c r="B126" s="2111"/>
      <c r="C126" s="2127"/>
      <c r="D126" s="2097"/>
      <c r="E126" s="2097"/>
      <c r="F126" s="2097"/>
      <c r="G126" s="2097"/>
      <c r="H126" s="2100"/>
      <c r="I126" s="2104"/>
      <c r="J126" s="2104"/>
      <c r="K126" s="2117"/>
      <c r="L126" s="2097"/>
      <c r="M126" s="2097"/>
      <c r="N126" s="2097"/>
    </row>
    <row r="127" spans="1:14">
      <c r="A127" s="2097"/>
      <c r="B127" s="2126"/>
      <c r="C127" s="2125"/>
      <c r="D127" s="2124"/>
      <c r="E127" s="2099"/>
      <c r="F127" s="2097"/>
      <c r="G127" s="2097"/>
      <c r="H127" s="2097"/>
      <c r="I127" s="2097"/>
      <c r="J127" s="2115"/>
      <c r="K127" s="2123"/>
      <c r="L127" s="2097"/>
      <c r="M127" s="2097"/>
      <c r="N127" s="2097"/>
    </row>
    <row r="128" spans="1:14">
      <c r="A128" s="2097"/>
      <c r="B128" s="2097"/>
      <c r="C128" s="2097"/>
      <c r="D128" s="2097"/>
      <c r="E128" s="2097"/>
      <c r="F128" s="2113"/>
      <c r="G128" s="2113"/>
      <c r="H128" s="2097"/>
      <c r="I128" s="2110"/>
      <c r="J128" s="2104"/>
      <c r="K128" s="2120"/>
      <c r="L128" s="2097"/>
      <c r="M128" s="2097"/>
      <c r="N128" s="2097"/>
    </row>
    <row r="129" spans="1:14">
      <c r="A129" s="2097"/>
      <c r="B129" s="2097"/>
      <c r="C129" s="2097"/>
      <c r="D129" s="2097"/>
      <c r="E129" s="2097"/>
      <c r="F129" s="2113"/>
      <c r="G129" s="2113"/>
      <c r="H129" s="2097"/>
      <c r="I129" s="2110"/>
      <c r="J129" s="2104"/>
      <c r="K129" s="2122"/>
      <c r="L129" s="2097"/>
      <c r="M129" s="2097"/>
      <c r="N129" s="2097"/>
    </row>
    <row r="130" spans="1:14">
      <c r="A130" s="2097"/>
      <c r="B130" s="2097"/>
      <c r="C130" s="2097"/>
      <c r="D130" s="2097"/>
      <c r="E130" s="2097"/>
      <c r="F130" s="2113"/>
      <c r="G130" s="2113"/>
      <c r="H130" s="2097"/>
      <c r="I130" s="2110"/>
      <c r="J130" s="2104"/>
      <c r="K130" s="2122"/>
      <c r="L130" s="2097"/>
      <c r="M130" s="2097"/>
      <c r="N130" s="2097"/>
    </row>
    <row r="131" spans="1:14" ht="15.75">
      <c r="A131" s="2119"/>
      <c r="B131" s="2111"/>
      <c r="C131" s="2100"/>
      <c r="D131" s="2097"/>
      <c r="E131" s="2097"/>
      <c r="F131" s="2097"/>
      <c r="G131" s="2097"/>
      <c r="H131" s="2097"/>
      <c r="I131" s="2097"/>
      <c r="J131" s="2097"/>
      <c r="K131" s="2104"/>
      <c r="L131" s="2097"/>
      <c r="M131" s="2097"/>
      <c r="N131" s="2097"/>
    </row>
    <row r="132" spans="1:14" ht="15.75">
      <c r="A132" s="2119"/>
      <c r="B132" s="2111"/>
      <c r="C132" s="2100"/>
      <c r="D132" s="2097"/>
      <c r="E132" s="2097"/>
      <c r="F132" s="2097"/>
      <c r="G132" s="2097"/>
      <c r="H132" s="2100"/>
      <c r="I132" s="2104"/>
      <c r="J132" s="2104"/>
      <c r="K132" s="2117"/>
      <c r="L132" s="2097"/>
      <c r="M132" s="2097"/>
      <c r="N132" s="2097"/>
    </row>
    <row r="133" spans="1:14">
      <c r="A133" s="2097"/>
      <c r="B133" s="2126"/>
      <c r="C133" s="2125"/>
      <c r="D133" s="2124"/>
      <c r="E133" s="2097"/>
      <c r="F133" s="2097"/>
      <c r="G133" s="2097"/>
      <c r="H133" s="2097"/>
      <c r="I133" s="2097"/>
      <c r="J133" s="2115"/>
      <c r="K133" s="2123"/>
      <c r="L133" s="2097"/>
      <c r="M133" s="2097"/>
      <c r="N133" s="2097"/>
    </row>
    <row r="134" spans="1:14">
      <c r="A134" s="2097"/>
      <c r="B134" s="2097"/>
      <c r="C134" s="2097"/>
      <c r="D134" s="2097"/>
      <c r="E134" s="2097"/>
      <c r="F134" s="2113"/>
      <c r="G134" s="2113"/>
      <c r="H134" s="2097"/>
      <c r="I134" s="2110"/>
      <c r="J134" s="2104"/>
      <c r="K134" s="2120"/>
      <c r="L134" s="2097"/>
      <c r="M134" s="2097"/>
      <c r="N134" s="2097"/>
    </row>
    <row r="135" spans="1:14">
      <c r="A135" s="2097"/>
      <c r="B135" s="2097"/>
      <c r="C135" s="2097"/>
      <c r="D135" s="2097"/>
      <c r="E135" s="2097"/>
      <c r="F135" s="2113"/>
      <c r="G135" s="2113"/>
      <c r="H135" s="2097"/>
      <c r="I135" s="2110"/>
      <c r="J135" s="2104"/>
      <c r="K135" s="2122"/>
      <c r="L135" s="2097"/>
      <c r="M135" s="2097"/>
      <c r="N135" s="2097"/>
    </row>
    <row r="136" spans="1:14">
      <c r="A136" s="2097"/>
      <c r="B136" s="2097"/>
      <c r="C136" s="2097"/>
      <c r="D136" s="2097"/>
      <c r="E136" s="2097"/>
      <c r="F136" s="2113"/>
      <c r="G136" s="2113"/>
      <c r="H136" s="2097"/>
      <c r="I136" s="2110"/>
      <c r="J136" s="2104"/>
      <c r="K136" s="2122"/>
      <c r="L136" s="2097"/>
      <c r="M136" s="2097"/>
      <c r="N136" s="2097"/>
    </row>
    <row r="137" spans="1:14" ht="15.75">
      <c r="A137" s="2119"/>
      <c r="B137" s="2111"/>
      <c r="C137" s="2100"/>
      <c r="D137" s="2097"/>
      <c r="E137" s="2097"/>
      <c r="F137" s="2097"/>
      <c r="G137" s="2097"/>
      <c r="H137" s="2097"/>
      <c r="I137" s="2097"/>
      <c r="J137" s="2097"/>
      <c r="K137" s="2104"/>
      <c r="L137" s="2097"/>
      <c r="M137" s="2097"/>
      <c r="N137" s="2097"/>
    </row>
    <row r="138" spans="1:14" ht="15.75">
      <c r="A138" s="2119"/>
      <c r="B138" s="2111"/>
      <c r="C138" s="2100"/>
      <c r="D138" s="2097"/>
      <c r="E138" s="2097"/>
      <c r="F138" s="2097"/>
      <c r="G138" s="2097"/>
      <c r="H138" s="2100"/>
      <c r="I138" s="2104"/>
      <c r="J138" s="2104"/>
      <c r="K138" s="2117"/>
      <c r="L138" s="2097"/>
      <c r="M138" s="2097"/>
      <c r="N138" s="2097"/>
    </row>
    <row r="139" spans="1:14">
      <c r="A139" s="2097"/>
      <c r="B139" s="2126"/>
      <c r="C139" s="2125"/>
      <c r="D139" s="2124"/>
      <c r="E139" s="2097"/>
      <c r="F139" s="2097"/>
      <c r="G139" s="2097"/>
      <c r="H139" s="2097"/>
      <c r="I139" s="2097"/>
      <c r="J139" s="2115"/>
      <c r="K139" s="2123"/>
      <c r="L139" s="2097"/>
      <c r="M139" s="2097"/>
      <c r="N139" s="2097"/>
    </row>
    <row r="140" spans="1:14">
      <c r="A140" s="2097"/>
      <c r="B140" s="2097"/>
      <c r="C140" s="2097"/>
      <c r="D140" s="2097"/>
      <c r="E140" s="2097"/>
      <c r="F140" s="2113"/>
      <c r="G140" s="2113"/>
      <c r="H140" s="2097"/>
      <c r="I140" s="2110"/>
      <c r="J140" s="2104"/>
      <c r="K140" s="2120"/>
      <c r="L140" s="2097"/>
      <c r="M140" s="2097"/>
      <c r="N140" s="2097"/>
    </row>
    <row r="141" spans="1:14">
      <c r="A141" s="2097"/>
      <c r="B141" s="2097"/>
      <c r="C141" s="2097"/>
      <c r="D141" s="2097"/>
      <c r="E141" s="2097"/>
      <c r="F141" s="2113"/>
      <c r="G141" s="2113"/>
      <c r="H141" s="2097"/>
      <c r="I141" s="2110"/>
      <c r="J141" s="2104"/>
      <c r="K141" s="2122"/>
      <c r="L141" s="2097"/>
      <c r="M141" s="2097"/>
      <c r="N141" s="2097"/>
    </row>
    <row r="142" spans="1:14">
      <c r="A142" s="2097"/>
      <c r="B142" s="2097"/>
      <c r="C142" s="2097"/>
      <c r="D142" s="2097"/>
      <c r="E142" s="2097"/>
      <c r="F142" s="2113"/>
      <c r="G142" s="2113"/>
      <c r="H142" s="2097"/>
      <c r="I142" s="2110"/>
      <c r="J142" s="2104"/>
      <c r="K142" s="2122"/>
      <c r="L142" s="2097"/>
      <c r="M142" s="2097"/>
      <c r="N142" s="2097"/>
    </row>
    <row r="143" spans="1:14" ht="15.75">
      <c r="A143" s="2119"/>
      <c r="B143" s="2097"/>
      <c r="C143" s="2097"/>
      <c r="D143" s="2097"/>
      <c r="E143" s="2119"/>
      <c r="F143" s="2107"/>
      <c r="G143" s="2107"/>
      <c r="H143" s="2121"/>
      <c r="I143" s="2110"/>
      <c r="J143" s="2121"/>
      <c r="K143" s="2120"/>
      <c r="L143" s="2097"/>
      <c r="M143" s="2097"/>
      <c r="N143" s="2097"/>
    </row>
    <row r="144" spans="1:14" ht="15.75">
      <c r="A144" s="2119"/>
      <c r="B144" s="2097"/>
      <c r="C144" s="2097"/>
      <c r="D144" s="2097"/>
      <c r="E144" s="2107"/>
      <c r="F144" s="2107"/>
      <c r="G144" s="2107"/>
      <c r="H144" s="2107"/>
      <c r="I144" s="2107"/>
      <c r="J144" s="2107"/>
      <c r="K144" s="2107"/>
      <c r="L144" s="2097"/>
      <c r="M144" s="2097"/>
      <c r="N144" s="2097"/>
    </row>
    <row r="145" spans="1:14">
      <c r="A145" s="2097"/>
      <c r="B145" s="2097"/>
      <c r="C145" s="2097"/>
      <c r="D145" s="2117"/>
      <c r="E145" s="2118"/>
      <c r="F145" s="2099"/>
      <c r="G145" s="2097"/>
      <c r="H145" s="2097"/>
      <c r="I145" s="2097"/>
      <c r="J145" s="2097"/>
      <c r="K145" s="2097"/>
      <c r="L145" s="2097"/>
      <c r="M145" s="2097"/>
      <c r="N145" s="2097"/>
    </row>
    <row r="146" spans="1:14">
      <c r="A146" s="2097"/>
      <c r="B146" s="2097"/>
      <c r="C146" s="2097"/>
      <c r="D146" s="2117"/>
      <c r="E146" s="2116"/>
      <c r="F146" s="2097"/>
      <c r="G146" s="2097"/>
      <c r="H146" s="2115"/>
      <c r="I146" s="2097"/>
      <c r="J146" s="2097"/>
      <c r="K146" s="2097"/>
      <c r="L146" s="2097"/>
      <c r="M146" s="2097"/>
      <c r="N146" s="2097"/>
    </row>
    <row r="147" spans="1:14">
      <c r="A147" s="2097"/>
      <c r="B147" s="2097"/>
      <c r="C147" s="2097"/>
      <c r="D147" s="2097"/>
      <c r="E147" s="2097"/>
      <c r="F147" s="2114"/>
      <c r="G147" s="2097"/>
      <c r="H147" s="2115"/>
      <c r="I147" s="2097"/>
      <c r="J147" s="2097"/>
      <c r="K147" s="2097"/>
      <c r="L147" s="2097"/>
      <c r="M147" s="2097"/>
      <c r="N147" s="2097"/>
    </row>
    <row r="148" spans="1:14">
      <c r="A148" s="2097"/>
      <c r="B148" s="2097"/>
      <c r="C148" s="2097"/>
      <c r="D148" s="2097"/>
      <c r="E148" s="2097"/>
      <c r="F148" s="2114"/>
      <c r="G148" s="2097"/>
      <c r="H148" s="2097"/>
      <c r="I148" s="2097"/>
      <c r="J148" s="2097"/>
      <c r="K148" s="2097"/>
      <c r="L148" s="2097"/>
      <c r="M148" s="2097"/>
      <c r="N148" s="2097"/>
    </row>
    <row r="149" spans="1:14">
      <c r="A149" s="2097"/>
      <c r="B149" s="2097"/>
      <c r="C149" s="2097"/>
      <c r="D149" s="2097"/>
      <c r="E149" s="2110"/>
      <c r="F149" s="2113"/>
      <c r="G149" s="2107"/>
      <c r="H149" s="2097"/>
      <c r="I149" s="2110"/>
      <c r="J149" s="2107"/>
      <c r="K149" s="2112"/>
      <c r="L149" s="2097"/>
      <c r="M149" s="2097"/>
      <c r="N149" s="2097"/>
    </row>
    <row r="150" spans="1:14">
      <c r="A150" s="2104"/>
      <c r="B150" s="2111"/>
      <c r="C150" s="2100"/>
      <c r="D150" s="2097"/>
      <c r="E150" s="2110"/>
      <c r="F150" s="2097"/>
      <c r="G150" s="2097"/>
      <c r="H150" s="2097"/>
      <c r="I150" s="2110"/>
      <c r="J150" s="2097"/>
      <c r="K150" s="2109"/>
      <c r="L150" s="2097"/>
      <c r="M150" s="2097"/>
      <c r="N150" s="2097"/>
    </row>
    <row r="151" spans="1:14">
      <c r="A151" s="2097"/>
      <c r="B151" s="2097"/>
      <c r="C151" s="2097"/>
      <c r="D151" s="2097"/>
      <c r="E151" s="2097"/>
      <c r="F151" s="2099"/>
      <c r="G151" s="2097"/>
      <c r="H151" s="2097"/>
      <c r="I151" s="2097"/>
      <c r="J151" s="2097"/>
      <c r="K151" s="2097"/>
      <c r="L151" s="2097"/>
      <c r="M151" s="2097"/>
      <c r="N151" s="2097"/>
    </row>
    <row r="152" spans="1:14">
      <c r="A152" s="2097"/>
      <c r="B152" s="2097"/>
      <c r="C152" s="2097"/>
      <c r="D152" s="2097"/>
      <c r="E152" s="2108"/>
      <c r="F152" s="2107"/>
      <c r="G152" s="2107"/>
      <c r="H152" s="2107"/>
      <c r="I152" s="2107"/>
      <c r="J152" s="2107"/>
      <c r="K152" s="2106"/>
      <c r="L152" s="2097"/>
      <c r="M152" s="2097"/>
      <c r="N152" s="2097"/>
    </row>
    <row r="153" spans="1:14">
      <c r="A153" s="2097"/>
      <c r="B153" s="2097"/>
      <c r="C153" s="2097"/>
      <c r="D153" s="2097"/>
      <c r="E153" s="2097"/>
      <c r="F153" s="2097"/>
      <c r="G153" s="2097"/>
      <c r="H153" s="2097"/>
      <c r="I153" s="2097"/>
      <c r="J153" s="2097"/>
      <c r="K153" s="2097"/>
      <c r="L153" s="2097"/>
      <c r="M153" s="2097"/>
      <c r="N153" s="2097"/>
    </row>
    <row r="154" spans="1:14">
      <c r="A154" s="2097"/>
      <c r="B154" s="2097"/>
      <c r="C154" s="2097"/>
      <c r="D154" s="2097"/>
      <c r="E154" s="2097"/>
      <c r="F154" s="2097"/>
      <c r="G154" s="2105"/>
      <c r="H154" s="2097"/>
      <c r="I154" s="2097"/>
      <c r="J154" s="2097"/>
      <c r="K154" s="2104"/>
      <c r="L154" s="2097"/>
      <c r="M154" s="2097"/>
      <c r="N154" s="2097"/>
    </row>
    <row r="155" spans="1:14">
      <c r="A155" s="2097"/>
      <c r="B155" s="2097"/>
      <c r="C155" s="2097"/>
      <c r="D155" s="2097"/>
      <c r="E155" s="2097"/>
      <c r="F155" s="2097"/>
      <c r="G155" s="2097"/>
      <c r="H155" s="2101"/>
      <c r="I155" s="2097"/>
      <c r="J155" s="2097"/>
      <c r="K155" s="2103"/>
      <c r="L155" s="2099"/>
      <c r="M155" s="2097"/>
      <c r="N155" s="2097"/>
    </row>
    <row r="156" spans="1:14">
      <c r="A156" s="2097"/>
      <c r="B156" s="2097"/>
      <c r="C156" s="2097"/>
      <c r="D156" s="2097"/>
      <c r="E156" s="2097"/>
      <c r="F156" s="2097"/>
      <c r="G156" s="2097"/>
      <c r="H156" s="2101"/>
      <c r="I156" s="2097"/>
      <c r="J156" s="2097"/>
      <c r="K156" s="2103"/>
      <c r="L156" s="2099"/>
      <c r="M156" s="2097"/>
      <c r="N156" s="2097"/>
    </row>
    <row r="157" spans="1:14" ht="15.75">
      <c r="A157" s="2097"/>
      <c r="B157" s="2097"/>
      <c r="C157" s="2097"/>
      <c r="D157" s="2097"/>
      <c r="E157" s="2097"/>
      <c r="F157" s="2102"/>
      <c r="G157" s="2097"/>
      <c r="H157" s="2097"/>
      <c r="I157" s="2097"/>
      <c r="J157" s="2097"/>
      <c r="K157" s="2097"/>
      <c r="L157" s="2097"/>
      <c r="M157" s="2097"/>
      <c r="N157" s="2097"/>
    </row>
    <row r="158" spans="1:14">
      <c r="A158" s="2097"/>
      <c r="B158" s="2097"/>
      <c r="C158" s="2097"/>
      <c r="D158" s="2097"/>
      <c r="E158" s="2097"/>
      <c r="F158" s="2097"/>
      <c r="G158" s="2101"/>
      <c r="H158" s="2097"/>
      <c r="I158" s="2097"/>
      <c r="J158" s="2097"/>
      <c r="K158" s="2097"/>
      <c r="L158" s="2097"/>
      <c r="M158" s="2097"/>
      <c r="N158" s="2097"/>
    </row>
    <row r="159" spans="1:14">
      <c r="A159" s="2097"/>
      <c r="B159" s="2097"/>
      <c r="C159" s="2097"/>
      <c r="D159" s="2097"/>
      <c r="E159" s="2097"/>
      <c r="F159" s="2101"/>
      <c r="G159" s="2097"/>
      <c r="H159" s="2100"/>
      <c r="I159" s="2097"/>
      <c r="J159" s="2097"/>
      <c r="K159" s="2097"/>
      <c r="L159" s="2097"/>
      <c r="M159" s="2097"/>
      <c r="N159" s="2097"/>
    </row>
    <row r="160" spans="1:14">
      <c r="A160" s="2097"/>
      <c r="B160" s="2097"/>
      <c r="C160" s="2097"/>
      <c r="D160" s="2097"/>
      <c r="E160" s="2097"/>
      <c r="F160" s="2101"/>
      <c r="G160" s="2097"/>
      <c r="H160" s="2100"/>
      <c r="I160" s="2097"/>
      <c r="J160" s="2097"/>
      <c r="K160" s="2097"/>
      <c r="L160" s="2097"/>
      <c r="M160" s="2097"/>
      <c r="N160" s="2097"/>
    </row>
    <row r="161" spans="1:14">
      <c r="A161" s="2097"/>
      <c r="B161" s="2097"/>
      <c r="C161" s="2097"/>
      <c r="D161" s="2097"/>
      <c r="E161" s="2097"/>
      <c r="F161" s="2097"/>
      <c r="G161" s="2099"/>
      <c r="H161" s="2097"/>
      <c r="I161" s="2097"/>
      <c r="J161" s="2097"/>
      <c r="K161" s="2097"/>
      <c r="L161" s="2097"/>
      <c r="M161" s="2097"/>
      <c r="N161" s="2097"/>
    </row>
    <row r="162" spans="1:14">
      <c r="A162" s="2097"/>
      <c r="B162" s="2097"/>
      <c r="C162" s="2097"/>
      <c r="D162" s="2097"/>
      <c r="E162" s="2097"/>
      <c r="F162" s="2097"/>
      <c r="G162" s="2097"/>
      <c r="H162" s="2097"/>
      <c r="I162" s="2097"/>
      <c r="J162" s="2097"/>
      <c r="K162" s="2097"/>
      <c r="L162" s="2097"/>
      <c r="M162" s="2097"/>
      <c r="N162" s="2097"/>
    </row>
    <row r="163" spans="1:14">
      <c r="A163" s="2097"/>
      <c r="B163" s="2097"/>
      <c r="C163" s="2097"/>
      <c r="D163" s="2097"/>
      <c r="E163" s="2097"/>
      <c r="F163" s="2097"/>
      <c r="G163" s="2097"/>
      <c r="H163" s="2097"/>
      <c r="I163" s="2097"/>
      <c r="J163" s="2097"/>
      <c r="K163" s="2097"/>
      <c r="L163" s="2097"/>
      <c r="M163" s="2097"/>
      <c r="N163" s="2097"/>
    </row>
    <row r="164" spans="1:14">
      <c r="A164" s="2097"/>
      <c r="B164" s="2097"/>
      <c r="C164" s="2097"/>
      <c r="D164" s="2097"/>
      <c r="E164" s="2097"/>
      <c r="F164" s="2097"/>
      <c r="G164" s="2097"/>
      <c r="H164" s="2097"/>
      <c r="I164" s="2097"/>
      <c r="J164" s="2097"/>
      <c r="K164" s="2097"/>
      <c r="L164" s="2097"/>
      <c r="M164" s="2097"/>
      <c r="N164" s="2097"/>
    </row>
    <row r="165" spans="1:14">
      <c r="A165" s="2097"/>
      <c r="B165" s="2097"/>
      <c r="C165" s="2097"/>
      <c r="D165" s="2097"/>
      <c r="E165" s="2097"/>
      <c r="F165" s="2097"/>
      <c r="G165" s="2097"/>
      <c r="H165" s="2097"/>
      <c r="I165" s="2097"/>
      <c r="J165" s="2097"/>
      <c r="K165" s="2097"/>
      <c r="L165" s="2097"/>
      <c r="M165" s="2097"/>
      <c r="N165" s="2097"/>
    </row>
    <row r="166" spans="1:14">
      <c r="A166" s="2097"/>
      <c r="B166" s="2097"/>
      <c r="C166" s="2097"/>
      <c r="D166" s="2097"/>
      <c r="E166" s="2097"/>
      <c r="F166" s="2097"/>
      <c r="G166" s="2097"/>
      <c r="H166" s="2097"/>
      <c r="I166" s="2097"/>
      <c r="J166" s="2097"/>
      <c r="K166" s="2097"/>
      <c r="L166" s="2097"/>
      <c r="M166" s="2097"/>
      <c r="N166" s="2097"/>
    </row>
    <row r="167" spans="1:14">
      <c r="A167" s="2097"/>
      <c r="B167" s="2097"/>
      <c r="C167" s="2097"/>
      <c r="D167" s="2097"/>
      <c r="E167" s="2097"/>
      <c r="F167" s="2097"/>
      <c r="G167" s="2097"/>
      <c r="H167" s="2097"/>
      <c r="I167" s="2097"/>
      <c r="J167" s="2097"/>
      <c r="K167" s="2097"/>
      <c r="L167" s="2097"/>
      <c r="M167" s="2097"/>
      <c r="N167" s="2097"/>
    </row>
    <row r="168" spans="1:14">
      <c r="A168" s="2097"/>
      <c r="B168" s="2097"/>
      <c r="C168" s="2097"/>
      <c r="D168" s="2097"/>
      <c r="E168" s="2097"/>
      <c r="F168" s="2097"/>
      <c r="G168" s="2097"/>
      <c r="H168" s="2097"/>
      <c r="I168" s="2097"/>
      <c r="J168" s="2097"/>
      <c r="K168" s="2097"/>
      <c r="L168" s="2097"/>
      <c r="M168" s="2097"/>
      <c r="N168" s="2097"/>
    </row>
    <row r="169" spans="1:14">
      <c r="A169" s="2097"/>
      <c r="B169" s="2097"/>
      <c r="C169" s="2097"/>
      <c r="D169" s="2097"/>
      <c r="E169" s="2097"/>
      <c r="F169" s="2097"/>
      <c r="G169" s="2097"/>
      <c r="H169" s="2097"/>
      <c r="I169" s="2097"/>
      <c r="J169" s="2097"/>
      <c r="K169" s="2097"/>
      <c r="L169" s="2097"/>
      <c r="M169" s="2097"/>
      <c r="N169" s="2097"/>
    </row>
    <row r="170" spans="1:14">
      <c r="A170" s="2097"/>
      <c r="B170" s="2097"/>
      <c r="C170" s="2097"/>
      <c r="D170" s="2097"/>
      <c r="E170" s="2097"/>
      <c r="F170" s="2097"/>
      <c r="G170" s="2097"/>
      <c r="H170" s="2097"/>
      <c r="I170" s="2097"/>
      <c r="J170" s="2097"/>
      <c r="K170" s="2097"/>
      <c r="L170" s="2097"/>
      <c r="M170" s="2097"/>
      <c r="N170" s="2097"/>
    </row>
    <row r="171" spans="1:14">
      <c r="A171" s="2097"/>
      <c r="B171" s="2097"/>
      <c r="C171" s="2097"/>
      <c r="D171" s="2097"/>
      <c r="E171" s="2097"/>
      <c r="F171" s="2097"/>
      <c r="G171" s="2097"/>
      <c r="H171" s="2097"/>
      <c r="I171" s="2097"/>
      <c r="J171" s="2097"/>
      <c r="K171" s="2097"/>
      <c r="L171" s="2097"/>
      <c r="M171" s="2097"/>
      <c r="N171" s="2097"/>
    </row>
    <row r="172" spans="1:14">
      <c r="A172" s="2097"/>
      <c r="B172" s="2097"/>
      <c r="C172" s="2097"/>
      <c r="D172" s="2097"/>
      <c r="E172" s="2097"/>
      <c r="F172" s="2097"/>
      <c r="G172" s="2097"/>
      <c r="H172" s="2097"/>
      <c r="I172" s="2097"/>
      <c r="J172" s="2097"/>
      <c r="K172" s="2097"/>
      <c r="L172" s="2097"/>
      <c r="M172" s="2097"/>
      <c r="N172" s="2097"/>
    </row>
    <row r="173" spans="1:14">
      <c r="A173" s="2097"/>
      <c r="B173" s="2097"/>
      <c r="C173" s="2097"/>
      <c r="D173" s="2097"/>
      <c r="E173" s="2097"/>
      <c r="F173" s="2097"/>
      <c r="G173" s="2097"/>
      <c r="H173" s="2097"/>
      <c r="I173" s="2097"/>
      <c r="J173" s="2097"/>
      <c r="K173" s="2097"/>
      <c r="L173" s="2097"/>
      <c r="M173" s="2097"/>
      <c r="N173" s="2097"/>
    </row>
    <row r="174" spans="1:14">
      <c r="A174" s="2097"/>
      <c r="B174" s="2097"/>
      <c r="C174" s="2097"/>
      <c r="D174" s="2097"/>
      <c r="E174" s="2097"/>
      <c r="F174" s="2097"/>
      <c r="G174" s="2097"/>
      <c r="H174" s="2097"/>
      <c r="I174" s="2097"/>
      <c r="J174" s="2097"/>
      <c r="K174" s="2097"/>
      <c r="L174" s="2097"/>
      <c r="M174" s="2097"/>
      <c r="N174" s="2097"/>
    </row>
    <row r="175" spans="1:14">
      <c r="A175" s="2097"/>
      <c r="B175" s="2097"/>
      <c r="C175" s="2097"/>
      <c r="D175" s="2097"/>
      <c r="E175" s="2097"/>
      <c r="F175" s="2097"/>
      <c r="G175" s="2097"/>
      <c r="H175" s="2097"/>
      <c r="I175" s="2097"/>
      <c r="J175" s="2097"/>
      <c r="K175" s="2097"/>
      <c r="L175" s="2097"/>
      <c r="M175" s="2097"/>
      <c r="N175" s="2097"/>
    </row>
    <row r="176" spans="1:14">
      <c r="A176" s="2097"/>
      <c r="B176" s="2097"/>
      <c r="C176" s="2097"/>
      <c r="D176" s="2097"/>
      <c r="E176" s="2097"/>
      <c r="F176" s="2097"/>
      <c r="G176" s="2097"/>
      <c r="H176" s="2097"/>
      <c r="I176" s="2097"/>
      <c r="J176" s="2097"/>
      <c r="K176" s="2097"/>
      <c r="L176" s="2097"/>
      <c r="M176" s="2097"/>
      <c r="N176" s="2097"/>
    </row>
    <row r="177" spans="1:14">
      <c r="A177" s="2097"/>
      <c r="B177" s="2097"/>
      <c r="C177" s="2097"/>
      <c r="D177" s="2097"/>
      <c r="E177" s="2097"/>
      <c r="F177" s="2097"/>
      <c r="G177" s="2097"/>
      <c r="H177" s="2097"/>
      <c r="I177" s="2097"/>
      <c r="J177" s="2097"/>
      <c r="K177" s="2097"/>
      <c r="L177" s="2097"/>
      <c r="M177" s="2097"/>
      <c r="N177" s="2097"/>
    </row>
    <row r="178" spans="1:14">
      <c r="A178" s="2097"/>
      <c r="B178" s="2097"/>
      <c r="C178" s="2097"/>
      <c r="D178" s="2097"/>
      <c r="E178" s="2097"/>
      <c r="F178" s="2097"/>
      <c r="G178" s="2097"/>
      <c r="H178" s="2097"/>
      <c r="I178" s="2097"/>
      <c r="J178" s="2097"/>
      <c r="K178" s="2097"/>
      <c r="L178" s="2097"/>
      <c r="M178" s="2097"/>
      <c r="N178" s="2097"/>
    </row>
    <row r="179" spans="1:14">
      <c r="A179" s="2097"/>
      <c r="B179" s="2097"/>
      <c r="C179" s="2097"/>
      <c r="D179" s="2097"/>
      <c r="E179" s="2097"/>
      <c r="F179" s="2097"/>
      <c r="G179" s="2097"/>
      <c r="H179" s="2097"/>
      <c r="I179" s="2097"/>
      <c r="J179" s="2097"/>
      <c r="K179" s="2097"/>
      <c r="L179" s="2097"/>
      <c r="M179" s="2097"/>
      <c r="N179" s="2097"/>
    </row>
    <row r="180" spans="1:14">
      <c r="A180" s="2097"/>
      <c r="B180" s="2097"/>
      <c r="C180" s="2097"/>
      <c r="D180" s="2097"/>
      <c r="E180" s="2097"/>
      <c r="F180" s="2097"/>
      <c r="G180" s="2097"/>
      <c r="H180" s="2097"/>
      <c r="I180" s="2097"/>
      <c r="J180" s="2097"/>
      <c r="K180" s="2097"/>
      <c r="L180" s="2097"/>
      <c r="M180" s="2097"/>
      <c r="N180" s="2097"/>
    </row>
    <row r="181" spans="1:14">
      <c r="A181" s="2097"/>
      <c r="B181" s="2097"/>
      <c r="C181" s="2097"/>
      <c r="D181" s="2097"/>
      <c r="E181" s="2097"/>
      <c r="F181" s="2097"/>
      <c r="G181" s="2097"/>
      <c r="H181" s="2097"/>
      <c r="I181" s="2097"/>
      <c r="J181" s="2097"/>
      <c r="K181" s="2097"/>
      <c r="L181" s="2097"/>
      <c r="M181" s="2097"/>
      <c r="N181" s="2097"/>
    </row>
    <row r="182" spans="1:14">
      <c r="A182" s="2097"/>
      <c r="B182" s="2097"/>
      <c r="C182" s="2097"/>
      <c r="D182" s="2097"/>
      <c r="E182" s="2097"/>
      <c r="F182" s="2097"/>
      <c r="G182" s="2097"/>
      <c r="H182" s="2097"/>
      <c r="I182" s="2097"/>
      <c r="J182" s="2097"/>
      <c r="K182" s="2097"/>
      <c r="L182" s="2097"/>
      <c r="M182" s="2097"/>
      <c r="N182" s="2097"/>
    </row>
    <row r="183" spans="1:14">
      <c r="A183" s="2097"/>
      <c r="B183" s="2097"/>
      <c r="C183" s="2097"/>
      <c r="D183" s="2097"/>
      <c r="E183" s="2097"/>
      <c r="F183" s="2097"/>
      <c r="G183" s="2097"/>
      <c r="H183" s="2097"/>
      <c r="I183" s="2097"/>
      <c r="J183" s="2097"/>
      <c r="K183" s="2097"/>
      <c r="L183" s="2097"/>
      <c r="M183" s="2097"/>
      <c r="N183" s="2097"/>
    </row>
    <row r="184" spans="1:14">
      <c r="A184" s="2097"/>
      <c r="B184" s="2097"/>
      <c r="C184" s="2097"/>
      <c r="D184" s="2097"/>
      <c r="E184" s="2097"/>
      <c r="F184" s="2097"/>
      <c r="G184" s="2097"/>
      <c r="H184" s="2097"/>
      <c r="I184" s="2097"/>
      <c r="J184" s="2097"/>
      <c r="K184" s="2097"/>
      <c r="L184" s="2097"/>
      <c r="M184" s="2097"/>
      <c r="N184" s="2097"/>
    </row>
    <row r="185" spans="1:14">
      <c r="A185" s="2097"/>
      <c r="B185" s="2097"/>
      <c r="C185" s="2097"/>
      <c r="D185" s="2097"/>
      <c r="E185" s="2097"/>
      <c r="F185" s="2097"/>
      <c r="G185" s="2097"/>
      <c r="H185" s="2097"/>
      <c r="I185" s="2097"/>
      <c r="J185" s="2097"/>
      <c r="K185" s="2097"/>
      <c r="L185" s="2097"/>
      <c r="M185" s="2097"/>
      <c r="N185" s="2097"/>
    </row>
    <row r="186" spans="1:14">
      <c r="A186" s="2097"/>
      <c r="B186" s="2097"/>
      <c r="C186" s="2097"/>
      <c r="D186" s="2097"/>
      <c r="E186" s="2097"/>
      <c r="F186" s="2097"/>
      <c r="G186" s="2097"/>
      <c r="H186" s="2097"/>
      <c r="I186" s="2097"/>
      <c r="J186" s="2097"/>
      <c r="K186" s="2097"/>
      <c r="L186" s="2097"/>
      <c r="M186" s="2097"/>
      <c r="N186" s="2097"/>
    </row>
    <row r="187" spans="1:14">
      <c r="A187" s="2097"/>
      <c r="B187" s="2097"/>
      <c r="C187" s="2097"/>
      <c r="D187" s="2097"/>
      <c r="E187" s="2097"/>
      <c r="F187" s="2097"/>
      <c r="G187" s="2097"/>
      <c r="H187" s="2097"/>
      <c r="I187" s="2097"/>
      <c r="J187" s="2097"/>
      <c r="K187" s="2097"/>
      <c r="L187" s="2097"/>
      <c r="M187" s="2097"/>
      <c r="N187" s="2097"/>
    </row>
    <row r="188" spans="1:14">
      <c r="A188" s="2097"/>
      <c r="B188" s="2097"/>
      <c r="C188" s="2097"/>
      <c r="D188" s="2097"/>
      <c r="E188" s="2097"/>
      <c r="F188" s="2097"/>
      <c r="G188" s="2097"/>
      <c r="H188" s="2097"/>
      <c r="I188" s="2097"/>
      <c r="J188" s="2097"/>
      <c r="K188" s="2097"/>
      <c r="L188" s="2097"/>
      <c r="M188" s="2097"/>
      <c r="N188" s="2097"/>
    </row>
    <row r="189" spans="1:14">
      <c r="A189" s="2097"/>
      <c r="B189" s="2097"/>
      <c r="C189" s="2097"/>
      <c r="D189" s="2097"/>
      <c r="E189" s="2097"/>
      <c r="F189" s="2097"/>
      <c r="G189" s="2097"/>
      <c r="H189" s="2097"/>
      <c r="I189" s="2097"/>
      <c r="J189" s="2097"/>
      <c r="K189" s="2097"/>
      <c r="L189" s="2097"/>
      <c r="M189" s="2097"/>
      <c r="N189" s="2097"/>
    </row>
    <row r="190" spans="1:14">
      <c r="A190" s="2097"/>
      <c r="B190" s="2097"/>
      <c r="C190" s="2097"/>
      <c r="D190" s="2097"/>
      <c r="E190" s="2097"/>
      <c r="F190" s="2097"/>
      <c r="G190" s="2097"/>
      <c r="H190" s="2097"/>
      <c r="I190" s="2097"/>
      <c r="J190" s="2097"/>
      <c r="K190" s="2097"/>
      <c r="L190" s="2097"/>
      <c r="M190" s="2097"/>
      <c r="N190" s="2097"/>
    </row>
    <row r="191" spans="1:14">
      <c r="A191" s="2097"/>
      <c r="B191" s="2097"/>
      <c r="C191" s="2097"/>
      <c r="D191" s="2097"/>
      <c r="E191" s="2097"/>
      <c r="F191" s="2097"/>
      <c r="G191" s="2097"/>
      <c r="H191" s="2097"/>
      <c r="I191" s="2097"/>
      <c r="J191" s="2097"/>
      <c r="K191" s="2097"/>
      <c r="L191" s="2097"/>
      <c r="M191" s="2097"/>
      <c r="N191" s="2097"/>
    </row>
    <row r="192" spans="1:14">
      <c r="A192" s="2097"/>
      <c r="B192" s="2097"/>
      <c r="C192" s="2097"/>
      <c r="D192" s="2097"/>
      <c r="E192" s="2097"/>
      <c r="F192" s="2097"/>
      <c r="G192" s="2097"/>
      <c r="H192" s="2097"/>
      <c r="I192" s="2097"/>
      <c r="J192" s="2097"/>
      <c r="K192" s="2097"/>
      <c r="L192" s="2097"/>
      <c r="M192" s="2097"/>
      <c r="N192" s="2097"/>
    </row>
    <row r="193" spans="1:14">
      <c r="A193" s="2097"/>
      <c r="B193" s="2097"/>
      <c r="C193" s="2097"/>
      <c r="D193" s="2097"/>
      <c r="E193" s="2097"/>
      <c r="F193" s="2097"/>
      <c r="G193" s="2097"/>
      <c r="H193" s="2097"/>
      <c r="I193" s="2097"/>
      <c r="J193" s="2097"/>
      <c r="K193" s="2097"/>
      <c r="L193" s="2097"/>
      <c r="M193" s="2097"/>
      <c r="N193" s="2097"/>
    </row>
    <row r="194" spans="1:14">
      <c r="A194" s="2097"/>
      <c r="B194" s="2097"/>
      <c r="C194" s="2097"/>
      <c r="D194" s="2097"/>
      <c r="E194" s="2097"/>
      <c r="F194" s="2097"/>
      <c r="G194" s="2097"/>
      <c r="H194" s="2097"/>
      <c r="I194" s="2097"/>
      <c r="J194" s="2097"/>
      <c r="K194" s="2097"/>
      <c r="L194" s="2097"/>
      <c r="M194" s="2097"/>
      <c r="N194" s="2097"/>
    </row>
    <row r="195" spans="1:14">
      <c r="A195" s="2097"/>
      <c r="B195" s="2097"/>
      <c r="C195" s="2097"/>
      <c r="D195" s="2097"/>
      <c r="E195" s="2097"/>
      <c r="F195" s="2097"/>
      <c r="G195" s="2097"/>
      <c r="H195" s="2097"/>
      <c r="I195" s="2097"/>
      <c r="J195" s="2097"/>
      <c r="K195" s="2097"/>
      <c r="L195" s="2097"/>
      <c r="M195" s="2097"/>
      <c r="N195" s="2097"/>
    </row>
    <row r="196" spans="1:14">
      <c r="A196" s="2097"/>
      <c r="B196" s="2097"/>
      <c r="C196" s="2097"/>
      <c r="D196" s="2097"/>
      <c r="E196" s="2097"/>
      <c r="F196" s="2097"/>
      <c r="G196" s="2097"/>
      <c r="H196" s="2097"/>
      <c r="I196" s="2097"/>
      <c r="J196" s="2097"/>
      <c r="K196" s="2097"/>
      <c r="L196" s="2097"/>
      <c r="M196" s="2097"/>
      <c r="N196" s="2097"/>
    </row>
    <row r="197" spans="1:14">
      <c r="A197" s="2097"/>
      <c r="B197" s="2097"/>
      <c r="C197" s="2097"/>
      <c r="D197" s="2097"/>
      <c r="E197" s="2097"/>
      <c r="F197" s="2097"/>
      <c r="G197" s="2097"/>
      <c r="H197" s="2097"/>
      <c r="I197" s="2097"/>
      <c r="J197" s="2097"/>
      <c r="K197" s="2097"/>
      <c r="L197" s="2097"/>
      <c r="M197" s="2097"/>
      <c r="N197" s="2097"/>
    </row>
    <row r="198" spans="1:14">
      <c r="A198" s="2097"/>
      <c r="B198" s="2097"/>
      <c r="C198" s="2097"/>
      <c r="D198" s="2097"/>
      <c r="E198" s="2097"/>
      <c r="F198" s="2097"/>
      <c r="G198" s="2097"/>
      <c r="H198" s="2097"/>
      <c r="I198" s="2097"/>
      <c r="J198" s="2097"/>
      <c r="K198" s="2097"/>
      <c r="L198" s="2097"/>
      <c r="M198" s="2097"/>
      <c r="N198" s="2097"/>
    </row>
    <row r="199" spans="1:14">
      <c r="A199" s="2097"/>
      <c r="B199" s="2097"/>
      <c r="C199" s="2097"/>
      <c r="D199" s="2097"/>
      <c r="E199" s="2097"/>
      <c r="F199" s="2097"/>
      <c r="G199" s="2097"/>
      <c r="H199" s="2097"/>
      <c r="I199" s="2097"/>
      <c r="J199" s="2097"/>
      <c r="K199" s="2097"/>
      <c r="L199" s="2097"/>
      <c r="M199" s="2097"/>
      <c r="N199" s="2097"/>
    </row>
    <row r="200" spans="1:14">
      <c r="A200" s="2097"/>
      <c r="B200" s="2097"/>
      <c r="C200" s="2097"/>
      <c r="D200" s="2097"/>
      <c r="E200" s="2097"/>
      <c r="F200" s="2097"/>
      <c r="G200" s="2097"/>
      <c r="H200" s="2097"/>
      <c r="I200" s="2097"/>
      <c r="J200" s="2097"/>
      <c r="K200" s="2097"/>
      <c r="L200" s="2097"/>
      <c r="M200" s="2097"/>
      <c r="N200" s="2097"/>
    </row>
    <row r="201" spans="1:14">
      <c r="A201" s="2097"/>
      <c r="B201" s="2097"/>
      <c r="C201" s="2097"/>
      <c r="D201" s="2097"/>
      <c r="E201" s="2097"/>
      <c r="F201" s="2097"/>
      <c r="G201" s="2097"/>
      <c r="H201" s="2097"/>
      <c r="I201" s="2097"/>
      <c r="J201" s="2097"/>
      <c r="K201" s="2097"/>
      <c r="L201" s="2097"/>
      <c r="M201" s="2097"/>
      <c r="N201" s="2097"/>
    </row>
    <row r="202" spans="1:14">
      <c r="A202" s="2097"/>
      <c r="B202" s="2097"/>
      <c r="C202" s="2097"/>
      <c r="D202" s="2097"/>
      <c r="E202" s="2097"/>
      <c r="F202" s="2097"/>
      <c r="G202" s="2097"/>
      <c r="H202" s="2097"/>
      <c r="I202" s="2097"/>
      <c r="J202" s="2097"/>
      <c r="K202" s="2097"/>
      <c r="L202" s="2097"/>
      <c r="M202" s="2097"/>
      <c r="N202" s="2097"/>
    </row>
    <row r="203" spans="1:14">
      <c r="A203" s="2097"/>
      <c r="B203" s="2097"/>
      <c r="C203" s="2097"/>
      <c r="D203" s="2097"/>
      <c r="E203" s="2097"/>
      <c r="F203" s="2097"/>
      <c r="G203" s="2097"/>
      <c r="H203" s="2097"/>
      <c r="I203" s="2097"/>
      <c r="J203" s="2097"/>
      <c r="K203" s="2097"/>
      <c r="L203" s="2097"/>
      <c r="M203" s="2097"/>
      <c r="N203" s="2097"/>
    </row>
    <row r="204" spans="1:14">
      <c r="A204" s="2097"/>
      <c r="B204" s="2097"/>
      <c r="C204" s="2097"/>
      <c r="D204" s="2097"/>
      <c r="E204" s="2097"/>
      <c r="F204" s="2097"/>
      <c r="G204" s="2097"/>
      <c r="H204" s="2097"/>
      <c r="I204" s="2097"/>
      <c r="J204" s="2097"/>
      <c r="K204" s="2097"/>
      <c r="L204" s="2097"/>
      <c r="M204" s="2097"/>
      <c r="N204" s="2097"/>
    </row>
    <row r="205" spans="1:14">
      <c r="A205" s="2097"/>
      <c r="B205" s="2097"/>
      <c r="C205" s="2097"/>
      <c r="D205" s="2097"/>
      <c r="E205" s="2097"/>
      <c r="F205" s="2097"/>
      <c r="G205" s="2097"/>
      <c r="H205" s="2097"/>
      <c r="I205" s="2097"/>
      <c r="J205" s="2097"/>
      <c r="K205" s="2097"/>
      <c r="L205" s="2097"/>
      <c r="M205" s="2097"/>
      <c r="N205" s="2097"/>
    </row>
    <row r="206" spans="1:14">
      <c r="A206" s="2097"/>
      <c r="B206" s="2097"/>
      <c r="C206" s="2097"/>
      <c r="D206" s="2097"/>
      <c r="E206" s="2097"/>
      <c r="F206" s="2097"/>
      <c r="G206" s="2097"/>
      <c r="H206" s="2097"/>
      <c r="I206" s="2097"/>
      <c r="J206" s="2097"/>
      <c r="K206" s="2097"/>
      <c r="L206" s="2097"/>
      <c r="M206" s="2097"/>
      <c r="N206" s="2097"/>
    </row>
    <row r="207" spans="1:14">
      <c r="A207" s="2097"/>
      <c r="B207" s="2097"/>
      <c r="C207" s="2097"/>
      <c r="D207" s="2097"/>
      <c r="E207" s="2097"/>
      <c r="F207" s="2097"/>
      <c r="G207" s="2097"/>
      <c r="H207" s="2097"/>
      <c r="I207" s="2097"/>
      <c r="J207" s="2097"/>
      <c r="K207" s="2097"/>
      <c r="L207" s="2097"/>
      <c r="M207" s="2097"/>
      <c r="N207" s="2097"/>
    </row>
    <row r="208" spans="1:14">
      <c r="A208" s="2097"/>
      <c r="B208" s="2097"/>
      <c r="C208" s="2097"/>
      <c r="D208" s="2097"/>
      <c r="E208" s="2097"/>
      <c r="F208" s="2097"/>
      <c r="G208" s="2097"/>
      <c r="H208" s="2097"/>
      <c r="I208" s="2097"/>
      <c r="J208" s="2097"/>
      <c r="K208" s="2097"/>
      <c r="L208" s="2097"/>
      <c r="M208" s="2097"/>
      <c r="N208" s="2097"/>
    </row>
    <row r="209" spans="1:14">
      <c r="A209" s="2097"/>
      <c r="B209" s="2097"/>
      <c r="C209" s="2097"/>
      <c r="D209" s="2097"/>
      <c r="E209" s="2097"/>
      <c r="F209" s="2097"/>
      <c r="G209" s="2097"/>
      <c r="H209" s="2097"/>
      <c r="I209" s="2097"/>
      <c r="J209" s="2097"/>
      <c r="K209" s="2097"/>
      <c r="L209" s="2097"/>
      <c r="M209" s="2097"/>
      <c r="N209" s="2097"/>
    </row>
    <row r="210" spans="1:14">
      <c r="A210" s="2097"/>
      <c r="B210" s="2097"/>
      <c r="C210" s="2097"/>
      <c r="D210" s="2097"/>
      <c r="E210" s="2097"/>
      <c r="F210" s="2097"/>
      <c r="G210" s="2097"/>
      <c r="H210" s="2097"/>
      <c r="I210" s="2097"/>
      <c r="J210" s="2097"/>
      <c r="K210" s="2097"/>
      <c r="L210" s="2097"/>
      <c r="M210" s="2097"/>
      <c r="N210" s="2097"/>
    </row>
    <row r="211" spans="1:14">
      <c r="A211" s="2097"/>
      <c r="B211" s="2097"/>
      <c r="C211" s="2097"/>
      <c r="D211" s="2097"/>
      <c r="E211" s="2097"/>
      <c r="F211" s="2097"/>
      <c r="G211" s="2097"/>
      <c r="H211" s="2097"/>
      <c r="I211" s="2097"/>
      <c r="J211" s="2097"/>
      <c r="K211" s="2097"/>
      <c r="L211" s="2097"/>
      <c r="M211" s="2097"/>
      <c r="N211" s="2097"/>
    </row>
    <row r="212" spans="1:14">
      <c r="A212" s="2097"/>
      <c r="B212" s="2097"/>
      <c r="C212" s="2097"/>
      <c r="D212" s="2097"/>
      <c r="E212" s="2097"/>
      <c r="F212" s="2097"/>
      <c r="G212" s="2097"/>
      <c r="H212" s="2097"/>
      <c r="I212" s="2097"/>
      <c r="J212" s="2097"/>
      <c r="K212" s="2097"/>
      <c r="L212" s="2097"/>
      <c r="M212" s="2097"/>
      <c r="N212" s="2097"/>
    </row>
    <row r="213" spans="1:14">
      <c r="A213" s="2097"/>
      <c r="B213" s="2097"/>
      <c r="C213" s="2097"/>
      <c r="D213" s="2097"/>
      <c r="E213" s="2097"/>
      <c r="F213" s="2097"/>
      <c r="G213" s="2097"/>
      <c r="H213" s="2097"/>
      <c r="I213" s="2097"/>
      <c r="J213" s="2097"/>
      <c r="K213" s="2097"/>
      <c r="L213" s="2097"/>
      <c r="M213" s="2097"/>
      <c r="N213" s="2097"/>
    </row>
    <row r="214" spans="1:14">
      <c r="A214" s="2097"/>
      <c r="B214" s="2097"/>
      <c r="C214" s="2097"/>
      <c r="D214" s="2097"/>
      <c r="E214" s="2097"/>
      <c r="F214" s="2097"/>
      <c r="G214" s="2097"/>
      <c r="H214" s="2097"/>
      <c r="I214" s="2097"/>
      <c r="J214" s="2097"/>
      <c r="K214" s="2097"/>
      <c r="L214" s="2097"/>
      <c r="M214" s="2097"/>
      <c r="N214" s="2097"/>
    </row>
    <row r="215" spans="1:14">
      <c r="A215" s="2097"/>
      <c r="B215" s="2097"/>
      <c r="C215" s="2097"/>
      <c r="D215" s="2097"/>
      <c r="E215" s="2097"/>
      <c r="F215" s="2097"/>
      <c r="G215" s="2097"/>
      <c r="H215" s="2097"/>
      <c r="I215" s="2097"/>
      <c r="J215" s="2097"/>
      <c r="K215" s="2097"/>
      <c r="L215" s="2097"/>
      <c r="M215" s="2097"/>
      <c r="N215" s="2097"/>
    </row>
    <row r="216" spans="1:14">
      <c r="A216" s="2097"/>
      <c r="B216" s="2097"/>
      <c r="C216" s="2097"/>
      <c r="D216" s="2097"/>
      <c r="E216" s="2097"/>
      <c r="F216" s="2097"/>
      <c r="G216" s="2097"/>
      <c r="H216" s="2097"/>
      <c r="I216" s="2097"/>
      <c r="J216" s="2097"/>
      <c r="K216" s="2097"/>
      <c r="L216" s="2097"/>
      <c r="M216" s="2097"/>
      <c r="N216" s="2097"/>
    </row>
    <row r="217" spans="1:14">
      <c r="A217" s="2097"/>
      <c r="B217" s="2097"/>
      <c r="C217" s="2097"/>
      <c r="D217" s="2097"/>
      <c r="E217" s="2097"/>
      <c r="F217" s="2097"/>
      <c r="G217" s="2097"/>
      <c r="H217" s="2097"/>
      <c r="I217" s="2097"/>
      <c r="J217" s="2097"/>
      <c r="K217" s="2097"/>
      <c r="L217" s="2097"/>
      <c r="M217" s="2097"/>
      <c r="N217" s="2097"/>
    </row>
    <row r="218" spans="1:14">
      <c r="A218" s="2097"/>
      <c r="B218" s="2097"/>
      <c r="C218" s="2097"/>
      <c r="D218" s="2097"/>
      <c r="E218" s="2097"/>
      <c r="F218" s="2097"/>
      <c r="G218" s="2097"/>
      <c r="H218" s="2097"/>
      <c r="I218" s="2097"/>
      <c r="J218" s="2097"/>
      <c r="K218" s="2097"/>
      <c r="L218" s="2097"/>
      <c r="M218" s="2097"/>
      <c r="N218" s="2097"/>
    </row>
    <row r="219" spans="1:14">
      <c r="A219" s="2097"/>
      <c r="B219" s="2097"/>
      <c r="C219" s="2097"/>
      <c r="D219" s="2097"/>
      <c r="E219" s="2097"/>
      <c r="F219" s="2097"/>
      <c r="G219" s="2097"/>
      <c r="H219" s="2097"/>
      <c r="I219" s="2097"/>
      <c r="J219" s="2097"/>
      <c r="K219" s="2097"/>
      <c r="L219" s="2097"/>
      <c r="M219" s="2097"/>
      <c r="N219" s="2097"/>
    </row>
    <row r="220" spans="1:14">
      <c r="A220" s="2097"/>
      <c r="B220" s="2097"/>
      <c r="C220" s="2097"/>
      <c r="D220" s="2097"/>
      <c r="E220" s="2097"/>
      <c r="F220" s="2097"/>
      <c r="G220" s="2097"/>
      <c r="H220" s="2097"/>
      <c r="I220" s="2097"/>
      <c r="J220" s="2097"/>
      <c r="K220" s="2097"/>
      <c r="L220" s="2097"/>
      <c r="M220" s="2097"/>
      <c r="N220" s="2097"/>
    </row>
    <row r="221" spans="1:14">
      <c r="A221" s="2097"/>
      <c r="B221" s="2097"/>
      <c r="C221" s="2097"/>
      <c r="D221" s="2097"/>
      <c r="E221" s="2097"/>
      <c r="F221" s="2097"/>
      <c r="G221" s="2097"/>
      <c r="H221" s="2097"/>
      <c r="I221" s="2097"/>
      <c r="J221" s="2097"/>
      <c r="K221" s="2097"/>
      <c r="L221" s="2097"/>
      <c r="M221" s="2097"/>
      <c r="N221" s="2097"/>
    </row>
    <row r="222" spans="1:14">
      <c r="A222" s="2097"/>
      <c r="B222" s="2097"/>
      <c r="C222" s="2097"/>
      <c r="D222" s="2097"/>
      <c r="E222" s="2097"/>
      <c r="F222" s="2097"/>
      <c r="G222" s="2097"/>
      <c r="H222" s="2097"/>
      <c r="I222" s="2097"/>
      <c r="J222" s="2097"/>
      <c r="K222" s="2097"/>
      <c r="L222" s="2097"/>
      <c r="M222" s="2097"/>
      <c r="N222" s="2097"/>
    </row>
    <row r="223" spans="1:14">
      <c r="A223" s="2097"/>
      <c r="B223" s="2097"/>
      <c r="C223" s="2097"/>
      <c r="D223" s="2097"/>
      <c r="E223" s="2097"/>
      <c r="F223" s="2097"/>
      <c r="G223" s="2097"/>
      <c r="H223" s="2097"/>
      <c r="I223" s="2097"/>
      <c r="J223" s="2097"/>
      <c r="K223" s="2097"/>
      <c r="L223" s="2097"/>
      <c r="M223" s="2097"/>
      <c r="N223" s="2097"/>
    </row>
    <row r="224" spans="1:14">
      <c r="A224" s="2097"/>
      <c r="B224" s="2097"/>
      <c r="C224" s="2097"/>
      <c r="D224" s="2097"/>
      <c r="E224" s="2097"/>
      <c r="F224" s="2097"/>
      <c r="G224" s="2097"/>
      <c r="H224" s="2097"/>
      <c r="I224" s="2097"/>
      <c r="J224" s="2097"/>
      <c r="K224" s="2097"/>
      <c r="L224" s="2097"/>
      <c r="M224" s="2097"/>
      <c r="N224" s="2097"/>
    </row>
    <row r="225" spans="1:14">
      <c r="A225" s="2097"/>
      <c r="B225" s="2097"/>
      <c r="C225" s="2097"/>
      <c r="D225" s="2097"/>
      <c r="E225" s="2097"/>
      <c r="F225" s="2097"/>
      <c r="G225" s="2097"/>
      <c r="H225" s="2097"/>
      <c r="I225" s="2097"/>
      <c r="J225" s="2097"/>
      <c r="K225" s="2097"/>
      <c r="L225" s="2097"/>
      <c r="M225" s="2097"/>
      <c r="N225" s="2097"/>
    </row>
    <row r="226" spans="1:14">
      <c r="A226" s="2097"/>
      <c r="B226" s="2097"/>
      <c r="C226" s="2097"/>
      <c r="D226" s="2097"/>
      <c r="E226" s="2097"/>
      <c r="F226" s="2097"/>
      <c r="G226" s="2097"/>
      <c r="H226" s="2097"/>
      <c r="I226" s="2097"/>
      <c r="J226" s="2097"/>
      <c r="K226" s="2097"/>
      <c r="L226" s="2097"/>
      <c r="M226" s="2097"/>
      <c r="N226" s="2097"/>
    </row>
    <row r="227" spans="1:14">
      <c r="A227" s="2097"/>
      <c r="B227" s="2097"/>
      <c r="C227" s="2097"/>
      <c r="D227" s="2097"/>
      <c r="E227" s="2097"/>
      <c r="F227" s="2097"/>
      <c r="G227" s="2097"/>
      <c r="H227" s="2097"/>
      <c r="I227" s="2097"/>
      <c r="J227" s="2097"/>
      <c r="K227" s="2097"/>
      <c r="L227" s="2097"/>
      <c r="M227" s="2097"/>
      <c r="N227" s="2097"/>
    </row>
    <row r="228" spans="1:14">
      <c r="A228" s="2097"/>
      <c r="B228" s="2097"/>
      <c r="C228" s="2097"/>
      <c r="D228" s="2097"/>
      <c r="E228" s="2097"/>
      <c r="F228" s="2097"/>
      <c r="G228" s="2097"/>
      <c r="H228" s="2097"/>
      <c r="I228" s="2097"/>
      <c r="J228" s="2097"/>
      <c r="K228" s="2097"/>
      <c r="L228" s="2097"/>
      <c r="M228" s="2097"/>
      <c r="N228" s="2097"/>
    </row>
    <row r="229" spans="1:14">
      <c r="A229" s="2097"/>
      <c r="B229" s="2097"/>
      <c r="C229" s="2097"/>
      <c r="D229" s="2097"/>
      <c r="E229" s="2097"/>
      <c r="F229" s="2097"/>
      <c r="G229" s="2097"/>
      <c r="H229" s="2097"/>
      <c r="I229" s="2097"/>
      <c r="J229" s="2097"/>
      <c r="K229" s="2097"/>
      <c r="L229" s="2097"/>
      <c r="M229" s="2097"/>
      <c r="N229" s="2097"/>
    </row>
    <row r="230" spans="1:14">
      <c r="A230" s="2097"/>
      <c r="B230" s="2097"/>
      <c r="C230" s="2097"/>
      <c r="D230" s="2097"/>
      <c r="E230" s="2097"/>
      <c r="F230" s="2097"/>
      <c r="G230" s="2097"/>
      <c r="H230" s="2097"/>
      <c r="I230" s="2097"/>
      <c r="J230" s="2097"/>
      <c r="K230" s="2097"/>
      <c r="L230" s="2097"/>
      <c r="M230" s="2097"/>
      <c r="N230" s="2097"/>
    </row>
    <row r="231" spans="1:14">
      <c r="A231" s="2097"/>
      <c r="B231" s="2097"/>
      <c r="C231" s="2097"/>
      <c r="D231" s="2097"/>
      <c r="E231" s="2097"/>
      <c r="F231" s="2097"/>
      <c r="G231" s="2097"/>
      <c r="H231" s="2097"/>
      <c r="I231" s="2097"/>
      <c r="J231" s="2097"/>
      <c r="K231" s="2097"/>
      <c r="L231" s="2097"/>
      <c r="M231" s="2097"/>
      <c r="N231" s="2097"/>
    </row>
    <row r="232" spans="1:14">
      <c r="A232" s="2097"/>
      <c r="B232" s="2097"/>
      <c r="C232" s="2097"/>
      <c r="D232" s="2097"/>
      <c r="E232" s="2097"/>
      <c r="F232" s="2097"/>
      <c r="G232" s="2097"/>
      <c r="H232" s="2097"/>
      <c r="I232" s="2097"/>
      <c r="J232" s="2097"/>
      <c r="K232" s="2097"/>
      <c r="L232" s="2097"/>
      <c r="M232" s="2097"/>
      <c r="N232" s="2097"/>
    </row>
    <row r="233" spans="1:14">
      <c r="A233" s="2097"/>
      <c r="B233" s="2097"/>
      <c r="C233" s="2097"/>
      <c r="D233" s="2097"/>
      <c r="E233" s="2097"/>
      <c r="F233" s="2097"/>
      <c r="G233" s="2097"/>
      <c r="H233" s="2097"/>
      <c r="I233" s="2097"/>
      <c r="J233" s="2097"/>
      <c r="K233" s="2097"/>
      <c r="L233" s="2097"/>
      <c r="M233" s="2097"/>
      <c r="N233" s="2097"/>
    </row>
    <row r="234" spans="1:14">
      <c r="A234" s="2097"/>
      <c r="B234" s="2097"/>
      <c r="C234" s="2097"/>
      <c r="D234" s="2097"/>
      <c r="E234" s="2097"/>
      <c r="F234" s="2097"/>
      <c r="G234" s="2097"/>
      <c r="H234" s="2097"/>
      <c r="I234" s="2097"/>
      <c r="J234" s="2097"/>
      <c r="K234" s="2097"/>
      <c r="L234" s="2097"/>
      <c r="M234" s="2097"/>
      <c r="N234" s="2097"/>
    </row>
    <row r="235" spans="1:14">
      <c r="A235" s="2097"/>
      <c r="B235" s="2097"/>
      <c r="C235" s="2097"/>
      <c r="D235" s="2097"/>
      <c r="E235" s="2097"/>
      <c r="F235" s="2097"/>
      <c r="G235" s="2097"/>
      <c r="H235" s="2097"/>
      <c r="I235" s="2097"/>
      <c r="J235" s="2097"/>
      <c r="K235" s="2097"/>
      <c r="L235" s="2097"/>
      <c r="M235" s="2097"/>
      <c r="N235" s="2097"/>
    </row>
    <row r="236" spans="1:14">
      <c r="A236" s="2097"/>
      <c r="B236" s="2097"/>
      <c r="C236" s="2097"/>
      <c r="D236" s="2097"/>
      <c r="E236" s="2097"/>
      <c r="F236" s="2097"/>
      <c r="G236" s="2097"/>
      <c r="H236" s="2097"/>
      <c r="I236" s="2097"/>
      <c r="J236" s="2097"/>
      <c r="K236" s="2097"/>
      <c r="L236" s="2097"/>
      <c r="M236" s="2097"/>
      <c r="N236" s="2097"/>
    </row>
    <row r="237" spans="1:14">
      <c r="A237" s="2097"/>
      <c r="B237" s="2097"/>
      <c r="C237" s="2097"/>
      <c r="D237" s="2097"/>
      <c r="E237" s="2097"/>
      <c r="F237" s="2097"/>
      <c r="G237" s="2097"/>
      <c r="H237" s="2097"/>
      <c r="I237" s="2097"/>
      <c r="J237" s="2097"/>
      <c r="K237" s="2097"/>
      <c r="L237" s="2097"/>
      <c r="M237" s="2097"/>
      <c r="N237" s="2097"/>
    </row>
    <row r="238" spans="1:14">
      <c r="A238" s="2097"/>
      <c r="B238" s="2097"/>
      <c r="C238" s="2097"/>
      <c r="D238" s="2097"/>
      <c r="E238" s="2097"/>
      <c r="F238" s="2097"/>
      <c r="G238" s="2097"/>
      <c r="H238" s="2097"/>
      <c r="I238" s="2097"/>
      <c r="J238" s="2097"/>
      <c r="K238" s="2097"/>
      <c r="L238" s="2097"/>
      <c r="M238" s="2097"/>
      <c r="N238" s="2097"/>
    </row>
    <row r="239" spans="1:14">
      <c r="A239" s="2097"/>
      <c r="B239" s="2097"/>
      <c r="C239" s="2097"/>
      <c r="D239" s="2097"/>
      <c r="E239" s="2097"/>
      <c r="F239" s="2097"/>
      <c r="G239" s="2097"/>
      <c r="H239" s="2097"/>
      <c r="I239" s="2097"/>
      <c r="J239" s="2097"/>
      <c r="K239" s="2097"/>
      <c r="L239" s="2097"/>
      <c r="M239" s="2097"/>
      <c r="N239" s="2097"/>
    </row>
    <row r="240" spans="1:14">
      <c r="A240" s="2097"/>
      <c r="B240" s="2097"/>
      <c r="C240" s="2097"/>
      <c r="D240" s="2097"/>
      <c r="E240" s="2097"/>
      <c r="F240" s="2097"/>
      <c r="G240" s="2097"/>
      <c r="H240" s="2097"/>
      <c r="I240" s="2097"/>
      <c r="J240" s="2097"/>
      <c r="K240" s="2097"/>
      <c r="L240" s="2097"/>
      <c r="M240" s="2097"/>
      <c r="N240" s="2097"/>
    </row>
    <row r="241" spans="1:14">
      <c r="A241" s="2097"/>
      <c r="B241" s="2097"/>
      <c r="C241" s="2097"/>
      <c r="D241" s="2097"/>
      <c r="E241" s="2097"/>
      <c r="F241" s="2097"/>
      <c r="G241" s="2097"/>
      <c r="H241" s="2097"/>
      <c r="I241" s="2097"/>
      <c r="J241" s="2097"/>
      <c r="K241" s="2097"/>
      <c r="L241" s="2097"/>
      <c r="M241" s="2097"/>
      <c r="N241" s="2097"/>
    </row>
    <row r="242" spans="1:14">
      <c r="A242" s="2097"/>
      <c r="B242" s="2097"/>
      <c r="C242" s="2097"/>
      <c r="D242" s="2097"/>
      <c r="E242" s="2097"/>
      <c r="F242" s="2097"/>
      <c r="G242" s="2097"/>
      <c r="H242" s="2097"/>
      <c r="I242" s="2097"/>
      <c r="J242" s="2097"/>
      <c r="K242" s="2097"/>
      <c r="L242" s="2097"/>
      <c r="M242" s="2097"/>
      <c r="N242" s="2097"/>
    </row>
    <row r="243" spans="1:14">
      <c r="A243" s="2097"/>
      <c r="B243" s="2097"/>
      <c r="C243" s="2097"/>
      <c r="D243" s="2097"/>
      <c r="E243" s="2097"/>
      <c r="F243" s="2097"/>
      <c r="G243" s="2097"/>
      <c r="H243" s="2097"/>
      <c r="I243" s="2097"/>
      <c r="J243" s="2097"/>
      <c r="K243" s="2097"/>
      <c r="L243" s="2097"/>
      <c r="M243" s="2097"/>
      <c r="N243" s="2097"/>
    </row>
    <row r="244" spans="1:14">
      <c r="A244" s="2097"/>
      <c r="B244" s="2097"/>
      <c r="C244" s="2097"/>
      <c r="D244" s="2097"/>
      <c r="E244" s="2097"/>
      <c r="F244" s="2097"/>
      <c r="G244" s="2097"/>
      <c r="H244" s="2097"/>
      <c r="I244" s="2097"/>
      <c r="J244" s="2097"/>
      <c r="K244" s="2097"/>
      <c r="L244" s="2097"/>
      <c r="M244" s="2097"/>
      <c r="N244" s="2097"/>
    </row>
    <row r="245" spans="1:14">
      <c r="A245" s="2097"/>
      <c r="B245" s="2097"/>
      <c r="C245" s="2097"/>
      <c r="D245" s="2097"/>
      <c r="E245" s="2097"/>
      <c r="F245" s="2097"/>
      <c r="G245" s="2097"/>
      <c r="H245" s="2097"/>
      <c r="I245" s="2097"/>
      <c r="J245" s="2097"/>
      <c r="K245" s="2097"/>
      <c r="L245" s="2097"/>
      <c r="M245" s="2097"/>
      <c r="N245" s="2097"/>
    </row>
    <row r="246" spans="1:14">
      <c r="A246" s="2097"/>
      <c r="B246" s="2097"/>
      <c r="C246" s="2097"/>
      <c r="D246" s="2097"/>
      <c r="E246" s="2097"/>
      <c r="F246" s="2097"/>
      <c r="G246" s="2097"/>
      <c r="H246" s="2097"/>
      <c r="I246" s="2097"/>
      <c r="J246" s="2097"/>
      <c r="K246" s="2097"/>
      <c r="L246" s="2097"/>
      <c r="M246" s="2097"/>
      <c r="N246" s="2097"/>
    </row>
    <row r="247" spans="1:14">
      <c r="A247" s="2097"/>
      <c r="B247" s="2097"/>
      <c r="C247" s="2097"/>
      <c r="D247" s="2097"/>
      <c r="E247" s="2097"/>
      <c r="F247" s="2097"/>
      <c r="G247" s="2097"/>
      <c r="H247" s="2097"/>
      <c r="I247" s="2097"/>
      <c r="J247" s="2097"/>
      <c r="K247" s="2097"/>
      <c r="L247" s="2097"/>
      <c r="M247" s="2097"/>
      <c r="N247" s="2097"/>
    </row>
    <row r="248" spans="1:14">
      <c r="A248" s="2097"/>
      <c r="B248" s="2097"/>
      <c r="C248" s="2097"/>
      <c r="D248" s="2097"/>
      <c r="E248" s="2097"/>
      <c r="F248" s="2097"/>
      <c r="G248" s="2097"/>
      <c r="H248" s="2097"/>
      <c r="I248" s="2097"/>
      <c r="J248" s="2097"/>
      <c r="K248" s="2097"/>
      <c r="L248" s="2097"/>
      <c r="M248" s="2097"/>
      <c r="N248" s="2097"/>
    </row>
    <row r="249" spans="1:14">
      <c r="A249" s="2097"/>
      <c r="B249" s="2097"/>
      <c r="C249" s="2097"/>
      <c r="D249" s="2097"/>
      <c r="E249" s="2097"/>
      <c r="F249" s="2097"/>
      <c r="G249" s="2097"/>
      <c r="H249" s="2097"/>
      <c r="I249" s="2097"/>
      <c r="J249" s="2097"/>
      <c r="K249" s="2097"/>
      <c r="L249" s="2097"/>
      <c r="M249" s="2097"/>
      <c r="N249" s="2097"/>
    </row>
    <row r="250" spans="1:14">
      <c r="A250" s="2097"/>
      <c r="B250" s="2097"/>
      <c r="C250" s="2097"/>
      <c r="D250" s="2097"/>
      <c r="E250" s="2097"/>
      <c r="F250" s="2097"/>
      <c r="G250" s="2097"/>
      <c r="H250" s="2097"/>
      <c r="I250" s="2097"/>
      <c r="J250" s="2097"/>
      <c r="K250" s="2097"/>
      <c r="L250" s="2097"/>
      <c r="M250" s="2097"/>
      <c r="N250" s="2097"/>
    </row>
    <row r="251" spans="1:14">
      <c r="A251" s="2097"/>
      <c r="B251" s="2097"/>
      <c r="C251" s="2097"/>
      <c r="D251" s="2097"/>
      <c r="E251" s="2097"/>
      <c r="F251" s="2097"/>
      <c r="G251" s="2097"/>
      <c r="H251" s="2097"/>
      <c r="I251" s="2097"/>
      <c r="J251" s="2097"/>
      <c r="K251" s="2097"/>
      <c r="L251" s="2097"/>
      <c r="M251" s="2097"/>
      <c r="N251" s="2097"/>
    </row>
    <row r="252" spans="1:14">
      <c r="A252" s="2097"/>
      <c r="B252" s="2097"/>
      <c r="C252" s="2097"/>
      <c r="D252" s="2097"/>
      <c r="E252" s="2097"/>
      <c r="F252" s="2097"/>
      <c r="G252" s="2097"/>
      <c r="H252" s="2097"/>
      <c r="I252" s="2097"/>
      <c r="J252" s="2097"/>
      <c r="K252" s="2097"/>
      <c r="L252" s="2097"/>
      <c r="M252" s="2097"/>
      <c r="N252" s="2097"/>
    </row>
    <row r="253" spans="1:14">
      <c r="A253" s="2097"/>
      <c r="B253" s="2097"/>
      <c r="C253" s="2097"/>
      <c r="D253" s="2097"/>
      <c r="E253" s="2097"/>
      <c r="F253" s="2097"/>
      <c r="G253" s="2097"/>
      <c r="H253" s="2097"/>
      <c r="I253" s="2097"/>
      <c r="J253" s="2097"/>
      <c r="K253" s="2097"/>
      <c r="L253" s="2097"/>
      <c r="M253" s="2097"/>
      <c r="N253" s="2097"/>
    </row>
    <row r="254" spans="1:14">
      <c r="A254" s="2097"/>
      <c r="B254" s="2097"/>
      <c r="C254" s="2097"/>
      <c r="D254" s="2097"/>
      <c r="E254" s="2097"/>
      <c r="F254" s="2097"/>
      <c r="G254" s="2097"/>
      <c r="H254" s="2097"/>
      <c r="I254" s="2097"/>
      <c r="J254" s="2097"/>
      <c r="K254" s="2097"/>
      <c r="L254" s="2097"/>
      <c r="M254" s="2097"/>
      <c r="N254" s="2097"/>
    </row>
    <row r="255" spans="1:14">
      <c r="A255" s="2097"/>
      <c r="B255" s="2097"/>
      <c r="C255" s="2097"/>
      <c r="D255" s="2097"/>
      <c r="E255" s="2097"/>
      <c r="F255" s="2097"/>
      <c r="G255" s="2097"/>
      <c r="H255" s="2097"/>
      <c r="I255" s="2097"/>
      <c r="J255" s="2097"/>
      <c r="K255" s="2097"/>
      <c r="L255" s="2097"/>
      <c r="M255" s="2097"/>
      <c r="N255" s="2097"/>
    </row>
    <row r="256" spans="1:14">
      <c r="A256" s="2097"/>
      <c r="B256" s="2097"/>
      <c r="C256" s="2097"/>
      <c r="D256" s="2097"/>
      <c r="E256" s="2097"/>
      <c r="F256" s="2097"/>
      <c r="G256" s="2097"/>
      <c r="H256" s="2097"/>
      <c r="I256" s="2097"/>
      <c r="J256" s="2097"/>
      <c r="K256" s="2097"/>
      <c r="L256" s="2097"/>
      <c r="M256" s="2097"/>
      <c r="N256" s="2097"/>
    </row>
    <row r="257" spans="1:14">
      <c r="A257" s="2097"/>
      <c r="B257" s="2097"/>
      <c r="C257" s="2097"/>
      <c r="D257" s="2097"/>
      <c r="E257" s="2097"/>
      <c r="F257" s="2097"/>
      <c r="G257" s="2097"/>
      <c r="H257" s="2097"/>
      <c r="I257" s="2097"/>
      <c r="J257" s="2097"/>
      <c r="K257" s="2097"/>
      <c r="L257" s="2097"/>
      <c r="M257" s="2097"/>
      <c r="N257" s="2097"/>
    </row>
    <row r="258" spans="1:14">
      <c r="A258" s="2097"/>
      <c r="B258" s="2097"/>
      <c r="C258" s="2097"/>
      <c r="D258" s="2097"/>
      <c r="E258" s="2097"/>
      <c r="F258" s="2097"/>
      <c r="G258" s="2097"/>
      <c r="H258" s="2097"/>
      <c r="I258" s="2097"/>
      <c r="J258" s="2097"/>
      <c r="K258" s="2097"/>
      <c r="L258" s="2097"/>
      <c r="M258" s="2097"/>
      <c r="N258" s="2097"/>
    </row>
    <row r="259" spans="1:14">
      <c r="A259" s="2097"/>
      <c r="B259" s="2097"/>
      <c r="C259" s="2097"/>
      <c r="D259" s="2097"/>
      <c r="E259" s="2097"/>
      <c r="F259" s="2097"/>
      <c r="G259" s="2097"/>
      <c r="H259" s="2097"/>
      <c r="I259" s="2097"/>
      <c r="J259" s="2097"/>
      <c r="K259" s="2097"/>
      <c r="L259" s="2097"/>
      <c r="M259" s="2097"/>
      <c r="N259" s="2097"/>
    </row>
    <row r="260" spans="1:14">
      <c r="A260" s="2097"/>
      <c r="B260" s="2097"/>
      <c r="C260" s="2097"/>
      <c r="D260" s="2097"/>
      <c r="E260" s="2097"/>
      <c r="F260" s="2097"/>
      <c r="G260" s="2097"/>
      <c r="H260" s="2097"/>
      <c r="I260" s="2097"/>
      <c r="J260" s="2097"/>
      <c r="K260" s="2097"/>
      <c r="L260" s="2097"/>
      <c r="M260" s="2097"/>
      <c r="N260" s="2097"/>
    </row>
    <row r="261" spans="1:14">
      <c r="A261" s="2097"/>
      <c r="B261" s="2097"/>
      <c r="C261" s="2097"/>
      <c r="D261" s="2097"/>
      <c r="E261" s="2097"/>
      <c r="F261" s="2097"/>
      <c r="G261" s="2097"/>
      <c r="H261" s="2097"/>
      <c r="I261" s="2097"/>
      <c r="J261" s="2097"/>
      <c r="K261" s="2097"/>
      <c r="L261" s="2097"/>
      <c r="M261" s="2097"/>
      <c r="N261" s="2097"/>
    </row>
    <row r="262" spans="1:14">
      <c r="A262" s="2097"/>
      <c r="B262" s="2097"/>
      <c r="C262" s="2097"/>
      <c r="D262" s="2097"/>
      <c r="E262" s="2097"/>
      <c r="F262" s="2097"/>
      <c r="G262" s="2097"/>
      <c r="H262" s="2097"/>
      <c r="I262" s="2097"/>
      <c r="J262" s="2097"/>
      <c r="K262" s="2097"/>
      <c r="L262" s="2097"/>
      <c r="M262" s="2097"/>
      <c r="N262" s="2097"/>
    </row>
    <row r="263" spans="1:14">
      <c r="A263" s="2097"/>
      <c r="B263" s="2097"/>
      <c r="C263" s="2097"/>
      <c r="D263" s="2097"/>
      <c r="E263" s="2097"/>
      <c r="F263" s="2097"/>
      <c r="G263" s="2097"/>
      <c r="H263" s="2097"/>
      <c r="I263" s="2097"/>
      <c r="J263" s="2097"/>
      <c r="K263" s="2097"/>
      <c r="L263" s="2097"/>
      <c r="M263" s="2097"/>
      <c r="N263" s="2097"/>
    </row>
    <row r="264" spans="1:14">
      <c r="A264" s="2097"/>
      <c r="B264" s="2097"/>
      <c r="C264" s="2097"/>
      <c r="D264" s="2097"/>
      <c r="E264" s="2097"/>
      <c r="F264" s="2097"/>
      <c r="G264" s="2097"/>
      <c r="H264" s="2097"/>
      <c r="I264" s="2097"/>
      <c r="J264" s="2097"/>
      <c r="K264" s="2097"/>
      <c r="L264" s="2097"/>
      <c r="M264" s="2097"/>
      <c r="N264" s="2097"/>
    </row>
    <row r="265" spans="1:14">
      <c r="A265" s="2097"/>
      <c r="B265" s="2097"/>
      <c r="C265" s="2097"/>
      <c r="D265" s="2097"/>
      <c r="E265" s="2097"/>
      <c r="F265" s="2097"/>
      <c r="G265" s="2097"/>
      <c r="H265" s="2097"/>
      <c r="I265" s="2097"/>
      <c r="J265" s="2097"/>
      <c r="K265" s="2097"/>
      <c r="L265" s="2097"/>
      <c r="M265" s="2097"/>
      <c r="N265" s="2097"/>
    </row>
    <row r="266" spans="1:14">
      <c r="A266" s="2097"/>
      <c r="B266" s="2097"/>
      <c r="C266" s="2097"/>
      <c r="D266" s="2097"/>
      <c r="E266" s="2097"/>
      <c r="F266" s="2097"/>
      <c r="G266" s="2097"/>
      <c r="H266" s="2097"/>
      <c r="I266" s="2097"/>
      <c r="J266" s="2097"/>
      <c r="K266" s="2097"/>
      <c r="L266" s="2097"/>
      <c r="M266" s="2097"/>
      <c r="N266" s="2097"/>
    </row>
    <row r="267" spans="1:14">
      <c r="A267" s="2097"/>
      <c r="B267" s="2097"/>
      <c r="C267" s="2097"/>
      <c r="D267" s="2097"/>
      <c r="E267" s="2097"/>
      <c r="F267" s="2097"/>
      <c r="G267" s="2097"/>
      <c r="H267" s="2097"/>
      <c r="I267" s="2097"/>
      <c r="J267" s="2097"/>
      <c r="K267" s="2097"/>
      <c r="L267" s="2097"/>
      <c r="M267" s="2097"/>
      <c r="N267" s="2097"/>
    </row>
    <row r="268" spans="1:14">
      <c r="A268" s="2097"/>
      <c r="B268" s="2097"/>
      <c r="C268" s="2097"/>
      <c r="D268" s="2097"/>
      <c r="E268" s="2097"/>
      <c r="F268" s="2097"/>
      <c r="G268" s="2097"/>
      <c r="H268" s="2097"/>
      <c r="I268" s="2097"/>
      <c r="J268" s="2097"/>
      <c r="K268" s="2097"/>
      <c r="L268" s="2097"/>
      <c r="M268" s="2097"/>
      <c r="N268" s="2097"/>
    </row>
    <row r="269" spans="1:14">
      <c r="A269" s="2097"/>
      <c r="B269" s="2097"/>
      <c r="C269" s="2097"/>
      <c r="D269" s="2097"/>
      <c r="E269" s="2097"/>
      <c r="F269" s="2097"/>
      <c r="G269" s="2097"/>
      <c r="H269" s="2097"/>
      <c r="I269" s="2097"/>
      <c r="J269" s="2097"/>
      <c r="K269" s="2097"/>
      <c r="L269" s="2097"/>
      <c r="M269" s="2097"/>
      <c r="N269" s="2097"/>
    </row>
    <row r="270" spans="1:14">
      <c r="A270" s="2097"/>
      <c r="B270" s="2097"/>
      <c r="C270" s="2097"/>
      <c r="D270" s="2097"/>
      <c r="E270" s="2097"/>
      <c r="F270" s="2097"/>
      <c r="G270" s="2097"/>
      <c r="H270" s="2097"/>
      <c r="I270" s="2097"/>
      <c r="J270" s="2097"/>
      <c r="K270" s="2097"/>
      <c r="L270" s="2097"/>
      <c r="M270" s="2097"/>
      <c r="N270" s="2097"/>
    </row>
    <row r="271" spans="1:14">
      <c r="A271" s="2097"/>
      <c r="B271" s="2097"/>
      <c r="C271" s="2097"/>
      <c r="D271" s="2097"/>
      <c r="E271" s="2097"/>
      <c r="F271" s="2097"/>
      <c r="G271" s="2097"/>
      <c r="H271" s="2097"/>
      <c r="I271" s="2097"/>
      <c r="J271" s="2097"/>
      <c r="K271" s="2097"/>
      <c r="L271" s="2097"/>
      <c r="M271" s="2097"/>
      <c r="N271" s="2097"/>
    </row>
    <row r="272" spans="1:14">
      <c r="A272" s="2097"/>
      <c r="B272" s="2097"/>
      <c r="C272" s="2097"/>
      <c r="D272" s="2097"/>
      <c r="E272" s="2097"/>
      <c r="F272" s="2097"/>
      <c r="G272" s="2097"/>
      <c r="H272" s="2097"/>
      <c r="I272" s="2097"/>
      <c r="J272" s="2097"/>
      <c r="K272" s="2097"/>
      <c r="L272" s="2097"/>
      <c r="M272" s="2097"/>
      <c r="N272" s="2097"/>
    </row>
    <row r="273" spans="1:14">
      <c r="A273" s="2097"/>
      <c r="B273" s="2097"/>
      <c r="C273" s="2097"/>
      <c r="D273" s="2097"/>
      <c r="E273" s="2097"/>
      <c r="F273" s="2097"/>
      <c r="G273" s="2097"/>
      <c r="H273" s="2097"/>
      <c r="I273" s="2097"/>
      <c r="J273" s="2097"/>
      <c r="K273" s="2097"/>
      <c r="L273" s="2097"/>
      <c r="M273" s="2097"/>
      <c r="N273" s="2097"/>
    </row>
    <row r="274" spans="1:14">
      <c r="A274" s="2097"/>
      <c r="B274" s="2097"/>
      <c r="C274" s="2097"/>
      <c r="D274" s="2097"/>
      <c r="E274" s="2097"/>
      <c r="F274" s="2097"/>
      <c r="G274" s="2097"/>
      <c r="H274" s="2097"/>
      <c r="I274" s="2097"/>
      <c r="J274" s="2097"/>
      <c r="K274" s="2097"/>
      <c r="L274" s="2097"/>
      <c r="M274" s="2097"/>
      <c r="N274" s="2097"/>
    </row>
    <row r="275" spans="1:14">
      <c r="A275" s="2097"/>
      <c r="B275" s="2097"/>
      <c r="C275" s="2097"/>
      <c r="D275" s="2097"/>
      <c r="E275" s="2097"/>
      <c r="F275" s="2097"/>
      <c r="G275" s="2097"/>
      <c r="H275" s="2097"/>
      <c r="I275" s="2097"/>
      <c r="J275" s="2097"/>
      <c r="K275" s="2097"/>
      <c r="L275" s="2097"/>
      <c r="M275" s="2097"/>
      <c r="N275" s="2097"/>
    </row>
    <row r="276" spans="1:14">
      <c r="A276" s="2097"/>
      <c r="B276" s="2097"/>
      <c r="C276" s="2097"/>
      <c r="D276" s="2097"/>
      <c r="E276" s="2097"/>
      <c r="F276" s="2097"/>
      <c r="G276" s="2097"/>
      <c r="H276" s="2097"/>
      <c r="I276" s="2097"/>
      <c r="J276" s="2097"/>
      <c r="K276" s="2097"/>
      <c r="L276" s="2097"/>
      <c r="M276" s="2097"/>
      <c r="N276" s="2097"/>
    </row>
    <row r="277" spans="1:14">
      <c r="A277" s="2097"/>
      <c r="B277" s="2097"/>
      <c r="C277" s="2097"/>
      <c r="D277" s="2097"/>
      <c r="E277" s="2097"/>
      <c r="F277" s="2097"/>
      <c r="G277" s="2097"/>
      <c r="H277" s="2097"/>
      <c r="I277" s="2097"/>
      <c r="J277" s="2097"/>
      <c r="K277" s="2097"/>
      <c r="L277" s="2097"/>
      <c r="M277" s="2097"/>
      <c r="N277" s="2097"/>
    </row>
    <row r="278" spans="1:14">
      <c r="A278" s="2097"/>
      <c r="B278" s="2097"/>
      <c r="C278" s="2097"/>
      <c r="D278" s="2097"/>
      <c r="E278" s="2097"/>
      <c r="F278" s="2097"/>
      <c r="G278" s="2097"/>
      <c r="H278" s="2097"/>
      <c r="I278" s="2097"/>
      <c r="J278" s="2097"/>
      <c r="K278" s="2097"/>
      <c r="L278" s="2097"/>
      <c r="M278" s="2097"/>
      <c r="N278" s="2097"/>
    </row>
    <row r="279" spans="1:14">
      <c r="A279" s="2097"/>
      <c r="B279" s="2097"/>
      <c r="C279" s="2097"/>
      <c r="D279" s="2097"/>
      <c r="E279" s="2097"/>
      <c r="F279" s="2097"/>
      <c r="G279" s="2097"/>
      <c r="H279" s="2097"/>
      <c r="I279" s="2097"/>
      <c r="J279" s="2097"/>
      <c r="K279" s="2097"/>
      <c r="L279" s="2097"/>
      <c r="M279" s="2097"/>
      <c r="N279" s="2097"/>
    </row>
    <row r="280" spans="1:14">
      <c r="A280" s="2097"/>
      <c r="B280" s="2097"/>
      <c r="C280" s="2097"/>
      <c r="D280" s="2097"/>
      <c r="E280" s="2097"/>
      <c r="F280" s="2097"/>
      <c r="G280" s="2097"/>
      <c r="H280" s="2097"/>
      <c r="I280" s="2097"/>
      <c r="J280" s="2097"/>
      <c r="K280" s="2097"/>
      <c r="L280" s="2097"/>
      <c r="M280" s="2097"/>
      <c r="N280" s="2097"/>
    </row>
    <row r="281" spans="1:14">
      <c r="A281" s="2097"/>
      <c r="B281" s="2097"/>
      <c r="C281" s="2097"/>
      <c r="D281" s="2097"/>
      <c r="E281" s="2097"/>
      <c r="F281" s="2097"/>
      <c r="G281" s="2097"/>
      <c r="H281" s="2097"/>
      <c r="I281" s="2097"/>
      <c r="J281" s="2097"/>
      <c r="K281" s="2097"/>
      <c r="L281" s="2097"/>
      <c r="M281" s="2097"/>
      <c r="N281" s="2097"/>
    </row>
    <row r="282" spans="1:14">
      <c r="A282" s="2097"/>
      <c r="B282" s="2097"/>
      <c r="C282" s="2097"/>
      <c r="D282" s="2097"/>
      <c r="E282" s="2097"/>
      <c r="F282" s="2097"/>
      <c r="G282" s="2097"/>
      <c r="H282" s="2097"/>
      <c r="I282" s="2097"/>
      <c r="J282" s="2097"/>
      <c r="K282" s="2097"/>
      <c r="L282" s="2097"/>
      <c r="M282" s="2097"/>
      <c r="N282" s="2097"/>
    </row>
    <row r="283" spans="1:14">
      <c r="A283" s="2097"/>
      <c r="B283" s="2097"/>
      <c r="C283" s="2097"/>
      <c r="D283" s="2097"/>
      <c r="E283" s="2097"/>
      <c r="F283" s="2097"/>
      <c r="G283" s="2097"/>
      <c r="H283" s="2097"/>
      <c r="I283" s="2097"/>
      <c r="J283" s="2097"/>
      <c r="K283" s="2097"/>
      <c r="L283" s="2097"/>
      <c r="M283" s="2097"/>
      <c r="N283" s="2097"/>
    </row>
    <row r="284" spans="1:14">
      <c r="A284" s="2097"/>
      <c r="B284" s="2097"/>
      <c r="C284" s="2097"/>
      <c r="D284" s="2097"/>
      <c r="E284" s="2097"/>
      <c r="F284" s="2097"/>
      <c r="G284" s="2097"/>
      <c r="H284" s="2097"/>
      <c r="I284" s="2097"/>
      <c r="J284" s="2097"/>
      <c r="K284" s="2097"/>
      <c r="L284" s="2097"/>
      <c r="M284" s="2097"/>
      <c r="N284" s="2097"/>
    </row>
    <row r="285" spans="1:14">
      <c r="A285" s="2097"/>
      <c r="B285" s="2097"/>
      <c r="C285" s="2097"/>
      <c r="D285" s="2097"/>
      <c r="E285" s="2097"/>
      <c r="F285" s="2097"/>
      <c r="G285" s="2097"/>
      <c r="H285" s="2097"/>
      <c r="I285" s="2097"/>
      <c r="J285" s="2097"/>
      <c r="K285" s="2097"/>
      <c r="L285" s="2097"/>
      <c r="M285" s="2097"/>
      <c r="N285" s="2097"/>
    </row>
    <row r="286" spans="1:14">
      <c r="A286" s="2097"/>
      <c r="B286" s="2097"/>
      <c r="C286" s="2097"/>
      <c r="D286" s="2097"/>
      <c r="E286" s="2097"/>
      <c r="F286" s="2097"/>
      <c r="G286" s="2097"/>
      <c r="H286" s="2097"/>
      <c r="I286" s="2097"/>
      <c r="J286" s="2097"/>
      <c r="K286" s="2097"/>
      <c r="L286" s="2097"/>
      <c r="M286" s="2097"/>
      <c r="N286" s="2097"/>
    </row>
    <row r="287" spans="1:14">
      <c r="A287" s="2097"/>
      <c r="B287" s="2097"/>
      <c r="C287" s="2097"/>
      <c r="D287" s="2097"/>
      <c r="E287" s="2097"/>
      <c r="F287" s="2097"/>
      <c r="G287" s="2097"/>
      <c r="H287" s="2097"/>
      <c r="I287" s="2097"/>
      <c r="J287" s="2097"/>
      <c r="K287" s="2097"/>
      <c r="L287" s="2097"/>
      <c r="M287" s="2097"/>
      <c r="N287" s="2097"/>
    </row>
    <row r="288" spans="1:14">
      <c r="A288" s="2097"/>
      <c r="B288" s="2097"/>
      <c r="C288" s="2097"/>
      <c r="D288" s="2097"/>
      <c r="E288" s="2097"/>
      <c r="F288" s="2097"/>
      <c r="G288" s="2097"/>
      <c r="H288" s="2097"/>
      <c r="I288" s="2097"/>
      <c r="J288" s="2097"/>
      <c r="K288" s="2097"/>
      <c r="L288" s="2097"/>
      <c r="M288" s="2097"/>
      <c r="N288" s="2097"/>
    </row>
    <row r="289" spans="1:14">
      <c r="A289" s="2097"/>
      <c r="B289" s="2097"/>
      <c r="C289" s="2097"/>
      <c r="D289" s="2097"/>
      <c r="E289" s="2097"/>
      <c r="F289" s="2097"/>
      <c r="G289" s="2097"/>
      <c r="H289" s="2097"/>
      <c r="I289" s="2097"/>
      <c r="J289" s="2097"/>
      <c r="K289" s="2097"/>
      <c r="L289" s="2097"/>
      <c r="M289" s="2097"/>
      <c r="N289" s="2097"/>
    </row>
    <row r="290" spans="1:14">
      <c r="A290" s="2097"/>
      <c r="B290" s="2097"/>
      <c r="C290" s="2097"/>
      <c r="D290" s="2097"/>
      <c r="E290" s="2097"/>
      <c r="F290" s="2097"/>
      <c r="G290" s="2097"/>
      <c r="H290" s="2097"/>
      <c r="I290" s="2097"/>
      <c r="J290" s="2097"/>
      <c r="K290" s="2097"/>
      <c r="L290" s="2097"/>
      <c r="M290" s="2097"/>
      <c r="N290" s="2097"/>
    </row>
    <row r="291" spans="1:14">
      <c r="A291" s="2097"/>
      <c r="B291" s="2097"/>
      <c r="C291" s="2097"/>
      <c r="D291" s="2097"/>
      <c r="E291" s="2097"/>
      <c r="F291" s="2097"/>
      <c r="G291" s="2097"/>
      <c r="H291" s="2097"/>
      <c r="I291" s="2097"/>
      <c r="J291" s="2097"/>
      <c r="K291" s="2097"/>
      <c r="L291" s="2097"/>
      <c r="M291" s="2097"/>
      <c r="N291" s="2097"/>
    </row>
    <row r="292" spans="1:14">
      <c r="A292" s="2097"/>
      <c r="B292" s="2097"/>
      <c r="C292" s="2097"/>
      <c r="D292" s="2097"/>
      <c r="E292" s="2097"/>
      <c r="F292" s="2097"/>
      <c r="G292" s="2097"/>
      <c r="H292" s="2097"/>
      <c r="I292" s="2097"/>
      <c r="J292" s="2097"/>
      <c r="K292" s="2097"/>
      <c r="L292" s="2097"/>
      <c r="M292" s="2097"/>
      <c r="N292" s="2097"/>
    </row>
    <row r="293" spans="1:14">
      <c r="A293" s="2097"/>
      <c r="B293" s="2097"/>
      <c r="C293" s="2097"/>
      <c r="D293" s="2097"/>
      <c r="E293" s="2097"/>
      <c r="F293" s="2097"/>
      <c r="G293" s="2097"/>
      <c r="H293" s="2097"/>
      <c r="I293" s="2097"/>
      <c r="J293" s="2097"/>
      <c r="K293" s="2097"/>
      <c r="L293" s="2097"/>
      <c r="M293" s="2097"/>
      <c r="N293" s="2097"/>
    </row>
    <row r="294" spans="1:14">
      <c r="A294" s="2097"/>
      <c r="B294" s="2097"/>
      <c r="C294" s="2097"/>
      <c r="D294" s="2097"/>
      <c r="E294" s="2097"/>
      <c r="F294" s="2097"/>
      <c r="G294" s="2097"/>
      <c r="H294" s="2097"/>
      <c r="I294" s="2097"/>
      <c r="J294" s="2097"/>
      <c r="K294" s="2097"/>
      <c r="L294" s="2097"/>
      <c r="M294" s="2097"/>
      <c r="N294" s="2097"/>
    </row>
    <row r="295" spans="1:14">
      <c r="A295" s="2097"/>
      <c r="B295" s="2097"/>
      <c r="C295" s="2097"/>
      <c r="D295" s="2097"/>
      <c r="E295" s="2097"/>
      <c r="F295" s="2097"/>
      <c r="G295" s="2097"/>
      <c r="H295" s="2097"/>
      <c r="I295" s="2097"/>
      <c r="J295" s="2097"/>
      <c r="K295" s="2097"/>
      <c r="L295" s="2097"/>
      <c r="M295" s="2097"/>
      <c r="N295" s="2097"/>
    </row>
    <row r="296" spans="1:14">
      <c r="A296" s="2097"/>
      <c r="B296" s="2097"/>
      <c r="C296" s="2097"/>
      <c r="D296" s="2097"/>
      <c r="E296" s="2097"/>
      <c r="F296" s="2097"/>
      <c r="G296" s="2097"/>
      <c r="H296" s="2097"/>
      <c r="I296" s="2097"/>
      <c r="J296" s="2097"/>
      <c r="K296" s="2097"/>
      <c r="L296" s="2097"/>
      <c r="M296" s="2097"/>
      <c r="N296" s="2097"/>
    </row>
    <row r="297" spans="1:14">
      <c r="A297" s="2097"/>
      <c r="B297" s="2097"/>
      <c r="C297" s="2097"/>
      <c r="D297" s="2097"/>
      <c r="E297" s="2097"/>
      <c r="F297" s="2097"/>
      <c r="G297" s="2097"/>
      <c r="H297" s="2097"/>
      <c r="I297" s="2097"/>
      <c r="J297" s="2097"/>
      <c r="K297" s="2097"/>
      <c r="L297" s="2097"/>
      <c r="M297" s="2097"/>
      <c r="N297" s="2097"/>
    </row>
    <row r="298" spans="1:14">
      <c r="A298" s="2097"/>
      <c r="B298" s="2097"/>
      <c r="C298" s="2097"/>
      <c r="D298" s="2097"/>
      <c r="E298" s="2097"/>
      <c r="F298" s="2097"/>
      <c r="G298" s="2097"/>
      <c r="H298" s="2097"/>
      <c r="I298" s="2097"/>
      <c r="J298" s="2097"/>
      <c r="K298" s="2097"/>
      <c r="L298" s="2097"/>
      <c r="M298" s="2097"/>
      <c r="N298" s="2097"/>
    </row>
    <row r="299" spans="1:14">
      <c r="A299" s="2097"/>
      <c r="B299" s="2097"/>
      <c r="C299" s="2097"/>
      <c r="D299" s="2097"/>
      <c r="E299" s="2097"/>
      <c r="F299" s="2097"/>
      <c r="G299" s="2097"/>
      <c r="H299" s="2097"/>
      <c r="I299" s="2097"/>
      <c r="J299" s="2097"/>
      <c r="K299" s="2097"/>
      <c r="L299" s="2097"/>
      <c r="M299" s="2097"/>
      <c r="N299" s="2097"/>
    </row>
    <row r="300" spans="1:14">
      <c r="A300" s="2097"/>
      <c r="B300" s="2097"/>
      <c r="C300" s="2097"/>
      <c r="D300" s="2097"/>
      <c r="E300" s="2097"/>
      <c r="F300" s="2097"/>
      <c r="G300" s="2097"/>
      <c r="H300" s="2097"/>
      <c r="I300" s="2097"/>
      <c r="J300" s="2097"/>
      <c r="K300" s="2097"/>
      <c r="L300" s="2097"/>
      <c r="M300" s="2097"/>
      <c r="N300" s="2097"/>
    </row>
    <row r="301" spans="1:14">
      <c r="A301" s="2097"/>
      <c r="B301" s="2097"/>
      <c r="C301" s="2097"/>
      <c r="D301" s="2097"/>
      <c r="E301" s="2097"/>
      <c r="F301" s="2097"/>
      <c r="G301" s="2097"/>
      <c r="H301" s="2097"/>
      <c r="I301" s="2097"/>
      <c r="J301" s="2097"/>
      <c r="K301" s="2097"/>
      <c r="L301" s="2097"/>
      <c r="M301" s="2097"/>
      <c r="N301" s="2097"/>
    </row>
    <row r="302" spans="1:14">
      <c r="A302" s="2097"/>
      <c r="B302" s="2097"/>
      <c r="C302" s="2097"/>
      <c r="D302" s="2097"/>
      <c r="E302" s="2097"/>
      <c r="F302" s="2097"/>
      <c r="G302" s="2097"/>
      <c r="H302" s="2097"/>
      <c r="I302" s="2097"/>
      <c r="J302" s="2097"/>
      <c r="K302" s="2097"/>
      <c r="L302" s="2097"/>
      <c r="M302" s="2097"/>
      <c r="N302" s="2097"/>
    </row>
    <row r="303" spans="1:14">
      <c r="A303" s="2097"/>
      <c r="B303" s="2097"/>
      <c r="C303" s="2097"/>
      <c r="D303" s="2097"/>
      <c r="E303" s="2097"/>
      <c r="F303" s="2097"/>
      <c r="G303" s="2097"/>
      <c r="H303" s="2097"/>
      <c r="I303" s="2097"/>
      <c r="J303" s="2097"/>
      <c r="K303" s="2097"/>
      <c r="L303" s="2097"/>
      <c r="M303" s="2097"/>
      <c r="N303" s="2097"/>
    </row>
    <row r="304" spans="1:14">
      <c r="A304" s="2097"/>
      <c r="B304" s="2097"/>
      <c r="C304" s="2097"/>
      <c r="D304" s="2097"/>
      <c r="E304" s="2097"/>
      <c r="F304" s="2097"/>
      <c r="G304" s="2097"/>
      <c r="H304" s="2097"/>
      <c r="I304" s="2097"/>
      <c r="J304" s="2097"/>
      <c r="K304" s="2097"/>
      <c r="L304" s="2097"/>
      <c r="M304" s="2097"/>
      <c r="N304" s="2097"/>
    </row>
    <row r="305" spans="1:14">
      <c r="A305" s="2097"/>
      <c r="B305" s="2097"/>
      <c r="C305" s="2097"/>
      <c r="D305" s="2097"/>
      <c r="E305" s="2097"/>
      <c r="F305" s="2097"/>
      <c r="G305" s="2097"/>
      <c r="H305" s="2097"/>
      <c r="I305" s="2097"/>
      <c r="J305" s="2097"/>
      <c r="K305" s="2097"/>
      <c r="L305" s="2097"/>
      <c r="M305" s="2097"/>
      <c r="N305" s="2097"/>
    </row>
    <row r="306" spans="1:14">
      <c r="A306" s="2097"/>
      <c r="B306" s="2097"/>
      <c r="C306" s="2097"/>
      <c r="D306" s="2097"/>
      <c r="E306" s="2097"/>
      <c r="F306" s="2097"/>
      <c r="G306" s="2097"/>
      <c r="H306" s="2097"/>
      <c r="I306" s="2097"/>
      <c r="J306" s="2097"/>
      <c r="K306" s="2097"/>
      <c r="L306" s="2097"/>
      <c r="M306" s="2097"/>
      <c r="N306" s="2097"/>
    </row>
    <row r="307" spans="1:14">
      <c r="A307" s="2097"/>
      <c r="B307" s="2097"/>
      <c r="C307" s="2097"/>
      <c r="D307" s="2097"/>
      <c r="E307" s="2097"/>
      <c r="F307" s="2097"/>
      <c r="G307" s="2097"/>
      <c r="H307" s="2097"/>
      <c r="I307" s="2097"/>
      <c r="J307" s="2097"/>
      <c r="K307" s="2097"/>
      <c r="L307" s="2097"/>
      <c r="M307" s="2097"/>
      <c r="N307" s="2097"/>
    </row>
    <row r="308" spans="1:14">
      <c r="A308" s="2097"/>
      <c r="B308" s="2097"/>
      <c r="C308" s="2097"/>
      <c r="D308" s="2097"/>
      <c r="E308" s="2097"/>
      <c r="F308" s="2097"/>
      <c r="G308" s="2097"/>
      <c r="H308" s="2097"/>
      <c r="I308" s="2097"/>
      <c r="J308" s="2097"/>
      <c r="K308" s="2097"/>
      <c r="L308" s="2097"/>
      <c r="M308" s="2097"/>
      <c r="N308" s="2097"/>
    </row>
    <row r="309" spans="1:14">
      <c r="A309" s="2097"/>
      <c r="B309" s="2097"/>
      <c r="C309" s="2097"/>
      <c r="D309" s="2097"/>
      <c r="E309" s="2097"/>
      <c r="F309" s="2097"/>
      <c r="G309" s="2097"/>
      <c r="H309" s="2097"/>
      <c r="I309" s="2097"/>
      <c r="J309" s="2097"/>
      <c r="K309" s="2097"/>
      <c r="L309" s="2097"/>
      <c r="M309" s="2097"/>
      <c r="N309" s="2097"/>
    </row>
    <row r="310" spans="1:14">
      <c r="A310" s="2097"/>
      <c r="B310" s="2097"/>
      <c r="C310" s="2097"/>
      <c r="D310" s="2097"/>
      <c r="E310" s="2097"/>
      <c r="F310" s="2097"/>
      <c r="G310" s="2097"/>
      <c r="H310" s="2097"/>
      <c r="I310" s="2097"/>
      <c r="J310" s="2097"/>
      <c r="K310" s="2097"/>
      <c r="L310" s="2097"/>
      <c r="M310" s="2097"/>
      <c r="N310" s="2097"/>
    </row>
    <row r="311" spans="1:14">
      <c r="A311" s="2097"/>
      <c r="B311" s="2097"/>
      <c r="C311" s="2097"/>
      <c r="D311" s="2097"/>
      <c r="E311" s="2097"/>
      <c r="F311" s="2097"/>
      <c r="G311" s="2097"/>
      <c r="H311" s="2097"/>
      <c r="I311" s="2097"/>
      <c r="J311" s="2097"/>
      <c r="K311" s="2097"/>
      <c r="L311" s="2097"/>
      <c r="M311" s="2097"/>
      <c r="N311" s="2097"/>
    </row>
    <row r="312" spans="1:14">
      <c r="A312" s="2097"/>
      <c r="B312" s="2097"/>
      <c r="C312" s="2097"/>
      <c r="D312" s="2097"/>
      <c r="E312" s="2097"/>
      <c r="F312" s="2097"/>
      <c r="G312" s="2097"/>
      <c r="H312" s="2097"/>
      <c r="I312" s="2097"/>
      <c r="J312" s="2097"/>
      <c r="K312" s="2097"/>
      <c r="L312" s="2097"/>
      <c r="M312" s="2097"/>
      <c r="N312" s="2097"/>
    </row>
    <row r="313" spans="1:14">
      <c r="A313" s="2097"/>
      <c r="B313" s="2097"/>
      <c r="C313" s="2097"/>
      <c r="D313" s="2097"/>
      <c r="E313" s="2097"/>
      <c r="F313" s="2097"/>
      <c r="G313" s="2097"/>
      <c r="H313" s="2097"/>
      <c r="I313" s="2097"/>
      <c r="J313" s="2097"/>
      <c r="K313" s="2097"/>
      <c r="L313" s="2097"/>
      <c r="M313" s="2097"/>
      <c r="N313" s="2097"/>
    </row>
    <row r="314" spans="1:14">
      <c r="A314" s="2097"/>
      <c r="B314" s="2097"/>
      <c r="C314" s="2097"/>
      <c r="D314" s="2097"/>
      <c r="E314" s="2097"/>
      <c r="F314" s="2097"/>
      <c r="G314" s="2097"/>
      <c r="H314" s="2097"/>
      <c r="I314" s="2097"/>
      <c r="J314" s="2097"/>
      <c r="K314" s="2097"/>
      <c r="L314" s="2097"/>
      <c r="M314" s="2097"/>
      <c r="N314" s="2097"/>
    </row>
    <row r="315" spans="1:14">
      <c r="A315" s="2097"/>
      <c r="B315" s="2097"/>
      <c r="C315" s="2097"/>
      <c r="D315" s="2097"/>
      <c r="E315" s="2097"/>
      <c r="F315" s="2097"/>
      <c r="G315" s="2097"/>
      <c r="H315" s="2097"/>
      <c r="I315" s="2097"/>
      <c r="J315" s="2097"/>
      <c r="K315" s="2097"/>
      <c r="L315" s="2097"/>
      <c r="M315" s="2097"/>
      <c r="N315" s="2097"/>
    </row>
    <row r="316" spans="1:14">
      <c r="A316" s="2097"/>
      <c r="B316" s="2097"/>
      <c r="C316" s="2097"/>
      <c r="D316" s="2097"/>
      <c r="E316" s="2097"/>
      <c r="F316" s="2097"/>
      <c r="G316" s="2097"/>
      <c r="H316" s="2097"/>
      <c r="I316" s="2097"/>
      <c r="J316" s="2097"/>
      <c r="K316" s="2097"/>
      <c r="L316" s="2097"/>
      <c r="M316" s="2097"/>
      <c r="N316" s="2097"/>
    </row>
    <row r="317" spans="1:14">
      <c r="A317" s="2097"/>
      <c r="B317" s="2097"/>
      <c r="C317" s="2097"/>
      <c r="D317" s="2097"/>
      <c r="E317" s="2097"/>
      <c r="F317" s="2097"/>
      <c r="G317" s="2097"/>
      <c r="H317" s="2097"/>
      <c r="I317" s="2097"/>
      <c r="J317" s="2097"/>
      <c r="K317" s="2097"/>
      <c r="L317" s="2097"/>
      <c r="M317" s="2097"/>
      <c r="N317" s="2097"/>
    </row>
    <row r="318" spans="1:14">
      <c r="A318" s="2097"/>
      <c r="B318" s="2097"/>
      <c r="C318" s="2097"/>
      <c r="D318" s="2097"/>
      <c r="E318" s="2097"/>
      <c r="F318" s="2097"/>
      <c r="G318" s="2097"/>
      <c r="H318" s="2097"/>
      <c r="I318" s="2097"/>
      <c r="J318" s="2097"/>
      <c r="K318" s="2097"/>
      <c r="L318" s="2097"/>
      <c r="M318" s="2097"/>
      <c r="N318" s="2097"/>
    </row>
    <row r="319" spans="1:14">
      <c r="A319" s="2097"/>
      <c r="B319" s="2097"/>
      <c r="C319" s="2097"/>
      <c r="D319" s="2097"/>
      <c r="E319" s="2097"/>
      <c r="F319" s="2097"/>
      <c r="G319" s="2097"/>
      <c r="H319" s="2097"/>
      <c r="I319" s="2097"/>
      <c r="J319" s="2097"/>
      <c r="K319" s="2097"/>
      <c r="L319" s="2097"/>
      <c r="M319" s="2097"/>
      <c r="N319" s="2097"/>
    </row>
    <row r="320" spans="1:14">
      <c r="A320" s="2097"/>
      <c r="B320" s="2097"/>
      <c r="C320" s="2097"/>
      <c r="D320" s="2097"/>
      <c r="E320" s="2097"/>
      <c r="F320" s="2097"/>
      <c r="G320" s="2097"/>
      <c r="H320" s="2097"/>
      <c r="I320" s="2097"/>
      <c r="J320" s="2097"/>
      <c r="K320" s="2097"/>
      <c r="L320" s="2097"/>
      <c r="M320" s="2097"/>
      <c r="N320" s="2097"/>
    </row>
    <row r="321" spans="1:14">
      <c r="A321" s="2097"/>
      <c r="B321" s="2097"/>
      <c r="C321" s="2097"/>
      <c r="D321" s="2097"/>
      <c r="E321" s="2097"/>
      <c r="F321" s="2097"/>
      <c r="G321" s="2097"/>
      <c r="H321" s="2097"/>
      <c r="I321" s="2097"/>
      <c r="J321" s="2097"/>
      <c r="K321" s="2097"/>
      <c r="L321" s="2097"/>
      <c r="M321" s="2097"/>
      <c r="N321" s="2097"/>
    </row>
    <row r="322" spans="1:14">
      <c r="A322" s="2097"/>
      <c r="B322" s="2097"/>
      <c r="C322" s="2097"/>
      <c r="D322" s="2097"/>
      <c r="E322" s="2097"/>
      <c r="F322" s="2097"/>
      <c r="G322" s="2097"/>
      <c r="H322" s="2097"/>
      <c r="I322" s="2097"/>
      <c r="J322" s="2097"/>
      <c r="K322" s="2097"/>
      <c r="L322" s="2097"/>
      <c r="M322" s="2097"/>
      <c r="N322" s="2097"/>
    </row>
    <row r="323" spans="1:14">
      <c r="A323" s="2097"/>
      <c r="B323" s="2097"/>
      <c r="C323" s="2097"/>
      <c r="D323" s="2097"/>
      <c r="E323" s="2097"/>
      <c r="F323" s="2097"/>
      <c r="G323" s="2097"/>
      <c r="H323" s="2097"/>
      <c r="I323" s="2097"/>
      <c r="J323" s="2097"/>
      <c r="K323" s="2097"/>
      <c r="L323" s="2097"/>
      <c r="M323" s="2097"/>
      <c r="N323" s="2097"/>
    </row>
    <row r="324" spans="1:14">
      <c r="A324" s="2097"/>
      <c r="B324" s="2097"/>
      <c r="C324" s="2097"/>
      <c r="D324" s="2097"/>
      <c r="E324" s="2097"/>
      <c r="F324" s="2097"/>
      <c r="G324" s="2097"/>
      <c r="H324" s="2097"/>
      <c r="I324" s="2097"/>
      <c r="J324" s="2097"/>
      <c r="K324" s="2097"/>
      <c r="L324" s="2097"/>
      <c r="M324" s="2097"/>
      <c r="N324" s="2097"/>
    </row>
    <row r="325" spans="1:14">
      <c r="A325" s="2097"/>
      <c r="B325" s="2097"/>
      <c r="C325" s="2097"/>
      <c r="D325" s="2097"/>
      <c r="E325" s="2097"/>
      <c r="F325" s="2097"/>
      <c r="G325" s="2097"/>
      <c r="H325" s="2097"/>
      <c r="I325" s="2097"/>
      <c r="J325" s="2097"/>
      <c r="K325" s="2097"/>
      <c r="L325" s="2097"/>
      <c r="M325" s="2097"/>
      <c r="N325" s="2097"/>
    </row>
    <row r="326" spans="1:14">
      <c r="A326" s="2097"/>
      <c r="B326" s="2097"/>
      <c r="C326" s="2097"/>
      <c r="D326" s="2097"/>
      <c r="E326" s="2097"/>
      <c r="F326" s="2097"/>
      <c r="G326" s="2097"/>
      <c r="H326" s="2097"/>
      <c r="I326" s="2097"/>
      <c r="J326" s="2097"/>
      <c r="K326" s="2097"/>
      <c r="L326" s="2097"/>
      <c r="M326" s="2097"/>
      <c r="N326" s="2097"/>
    </row>
    <row r="327" spans="1:14">
      <c r="A327" s="2097"/>
      <c r="B327" s="2097"/>
      <c r="C327" s="2097"/>
      <c r="D327" s="2097"/>
      <c r="E327" s="2097"/>
      <c r="F327" s="2097"/>
      <c r="G327" s="2097"/>
      <c r="H327" s="2097"/>
      <c r="I327" s="2097"/>
      <c r="J327" s="2097"/>
      <c r="K327" s="2097"/>
      <c r="L327" s="2097"/>
      <c r="M327" s="2097"/>
      <c r="N327" s="2097"/>
    </row>
    <row r="328" spans="1:14">
      <c r="A328" s="2097"/>
      <c r="B328" s="2097"/>
      <c r="C328" s="2097"/>
      <c r="D328" s="2097"/>
      <c r="E328" s="2097"/>
      <c r="F328" s="2097"/>
      <c r="G328" s="2097"/>
      <c r="H328" s="2097"/>
      <c r="I328" s="2097"/>
      <c r="J328" s="2097"/>
      <c r="K328" s="2097"/>
      <c r="L328" s="2097"/>
      <c r="M328" s="2097"/>
      <c r="N328" s="2097"/>
    </row>
    <row r="329" spans="1:14">
      <c r="A329" s="2097"/>
      <c r="B329" s="2097"/>
      <c r="C329" s="2097"/>
      <c r="D329" s="2097"/>
      <c r="E329" s="2097"/>
      <c r="F329" s="2097"/>
      <c r="G329" s="2097"/>
      <c r="H329" s="2097"/>
      <c r="I329" s="2097"/>
      <c r="J329" s="2097"/>
      <c r="K329" s="2097"/>
      <c r="L329" s="2097"/>
      <c r="M329" s="2097"/>
      <c r="N329" s="2097"/>
    </row>
    <row r="330" spans="1:14">
      <c r="A330" s="2097"/>
      <c r="B330" s="2097"/>
      <c r="C330" s="2097"/>
      <c r="D330" s="2097"/>
      <c r="E330" s="2097"/>
      <c r="F330" s="2097"/>
      <c r="G330" s="2097"/>
      <c r="H330" s="2097"/>
      <c r="I330" s="2097"/>
      <c r="J330" s="2097"/>
      <c r="K330" s="2097"/>
      <c r="L330" s="2097"/>
      <c r="M330" s="2097"/>
      <c r="N330" s="2097"/>
    </row>
    <row r="331" spans="1:14">
      <c r="A331" s="2097"/>
      <c r="B331" s="2097"/>
      <c r="C331" s="2097"/>
      <c r="D331" s="2097"/>
      <c r="E331" s="2097"/>
      <c r="F331" s="2097"/>
      <c r="G331" s="2097"/>
      <c r="H331" s="2097"/>
      <c r="I331" s="2097"/>
      <c r="J331" s="2097"/>
      <c r="K331" s="2097"/>
      <c r="L331" s="2097"/>
      <c r="M331" s="2097"/>
      <c r="N331" s="2097"/>
    </row>
    <row r="332" spans="1:14">
      <c r="A332" s="2097"/>
      <c r="B332" s="2097"/>
      <c r="C332" s="2097"/>
      <c r="D332" s="2097"/>
      <c r="E332" s="2097"/>
      <c r="F332" s="2097"/>
      <c r="G332" s="2097"/>
      <c r="H332" s="2097"/>
      <c r="I332" s="2097"/>
      <c r="J332" s="2097"/>
      <c r="K332" s="2097"/>
      <c r="L332" s="2097"/>
      <c r="M332" s="2097"/>
      <c r="N332" s="2097"/>
    </row>
    <row r="333" spans="1:14">
      <c r="A333" s="2097"/>
      <c r="B333" s="2097"/>
      <c r="C333" s="2097"/>
      <c r="D333" s="2097"/>
      <c r="E333" s="2097"/>
      <c r="F333" s="2097"/>
      <c r="G333" s="2097"/>
      <c r="H333" s="2097"/>
      <c r="I333" s="2097"/>
      <c r="J333" s="2097"/>
      <c r="K333" s="2097"/>
      <c r="L333" s="2097"/>
      <c r="M333" s="2097"/>
      <c r="N333" s="2097"/>
    </row>
    <row r="334" spans="1:14">
      <c r="A334" s="2097"/>
      <c r="B334" s="2097"/>
      <c r="C334" s="2097"/>
      <c r="D334" s="2097"/>
      <c r="E334" s="2097"/>
      <c r="F334" s="2097"/>
      <c r="G334" s="2097"/>
      <c r="H334" s="2097"/>
      <c r="I334" s="2097"/>
      <c r="J334" s="2097"/>
      <c r="K334" s="2097"/>
      <c r="L334" s="2097"/>
      <c r="M334" s="2097"/>
      <c r="N334" s="2097"/>
    </row>
    <row r="335" spans="1:14">
      <c r="A335" s="2097"/>
      <c r="B335" s="2097"/>
      <c r="C335" s="2097"/>
      <c r="D335" s="2097"/>
      <c r="E335" s="2097"/>
      <c r="F335" s="2097"/>
      <c r="G335" s="2097"/>
      <c r="H335" s="2097"/>
      <c r="I335" s="2097"/>
      <c r="J335" s="2097"/>
      <c r="K335" s="2097"/>
      <c r="L335" s="2097"/>
      <c r="M335" s="2097"/>
      <c r="N335" s="2097"/>
    </row>
    <row r="336" spans="1:14">
      <c r="A336" s="2097"/>
      <c r="B336" s="2097"/>
      <c r="C336" s="2097"/>
      <c r="D336" s="2097"/>
      <c r="E336" s="2097"/>
      <c r="F336" s="2097"/>
      <c r="G336" s="2097"/>
      <c r="H336" s="2097"/>
      <c r="I336" s="2097"/>
      <c r="J336" s="2097"/>
      <c r="K336" s="2097"/>
      <c r="L336" s="2097"/>
      <c r="M336" s="2097"/>
      <c r="N336" s="2097"/>
    </row>
    <row r="337" spans="1:14">
      <c r="A337" s="2097"/>
      <c r="B337" s="2097"/>
      <c r="C337" s="2097"/>
      <c r="D337" s="2097"/>
      <c r="E337" s="2097"/>
      <c r="F337" s="2097"/>
      <c r="G337" s="2097"/>
      <c r="H337" s="2097"/>
      <c r="I337" s="2097"/>
      <c r="J337" s="2097"/>
      <c r="K337" s="2097"/>
      <c r="L337" s="2097"/>
      <c r="M337" s="2097"/>
      <c r="N337" s="2097"/>
    </row>
    <row r="338" spans="1:14">
      <c r="A338" s="2097"/>
      <c r="B338" s="2097"/>
      <c r="C338" s="2097"/>
      <c r="D338" s="2097"/>
      <c r="E338" s="2097"/>
      <c r="F338" s="2097"/>
      <c r="G338" s="2097"/>
      <c r="H338" s="2097"/>
      <c r="I338" s="2097"/>
      <c r="J338" s="2097"/>
      <c r="K338" s="2097"/>
      <c r="L338" s="2097"/>
      <c r="M338" s="2097"/>
      <c r="N338" s="2097"/>
    </row>
    <row r="339" spans="1:14">
      <c r="A339" s="2097"/>
      <c r="B339" s="2097"/>
      <c r="C339" s="2097"/>
      <c r="D339" s="2097"/>
      <c r="E339" s="2097"/>
      <c r="F339" s="2097"/>
      <c r="G339" s="2097"/>
      <c r="H339" s="2097"/>
      <c r="I339" s="2097"/>
      <c r="J339" s="2097"/>
      <c r="K339" s="2097"/>
      <c r="L339" s="2097"/>
      <c r="M339" s="2097"/>
      <c r="N339" s="2097"/>
    </row>
    <row r="340" spans="1:14">
      <c r="A340" s="2097"/>
      <c r="B340" s="2097"/>
      <c r="C340" s="2097"/>
      <c r="D340" s="2097"/>
      <c r="E340" s="2097"/>
      <c r="F340" s="2097"/>
      <c r="G340" s="2097"/>
      <c r="H340" s="2097"/>
      <c r="I340" s="2097"/>
      <c r="J340" s="2097"/>
      <c r="K340" s="2097"/>
      <c r="L340" s="2097"/>
      <c r="M340" s="2097"/>
      <c r="N340" s="2097"/>
    </row>
    <row r="341" spans="1:14">
      <c r="A341" s="2097"/>
      <c r="B341" s="2097"/>
      <c r="C341" s="2097"/>
      <c r="D341" s="2097"/>
      <c r="E341" s="2097"/>
      <c r="F341" s="2097"/>
      <c r="G341" s="2097"/>
      <c r="H341" s="2097"/>
      <c r="I341" s="2097"/>
      <c r="J341" s="2097"/>
      <c r="K341" s="2097"/>
      <c r="L341" s="2097"/>
      <c r="M341" s="2097"/>
      <c r="N341" s="2097"/>
    </row>
    <row r="342" spans="1:14">
      <c r="A342" s="2097"/>
      <c r="B342" s="2097"/>
      <c r="C342" s="2097"/>
      <c r="D342" s="2097"/>
      <c r="E342" s="2097"/>
      <c r="F342" s="2097"/>
      <c r="G342" s="2097"/>
      <c r="H342" s="2097"/>
      <c r="I342" s="2097"/>
      <c r="J342" s="2097"/>
      <c r="K342" s="2097"/>
      <c r="L342" s="2097"/>
      <c r="M342" s="2097"/>
      <c r="N342" s="2097"/>
    </row>
    <row r="343" spans="1:14">
      <c r="A343" s="2097"/>
      <c r="B343" s="2097"/>
      <c r="C343" s="2097"/>
      <c r="D343" s="2097"/>
      <c r="E343" s="2097"/>
      <c r="F343" s="2097"/>
      <c r="G343" s="2097"/>
      <c r="H343" s="2097"/>
      <c r="I343" s="2097"/>
      <c r="J343" s="2097"/>
      <c r="K343" s="2097"/>
      <c r="L343" s="2097"/>
      <c r="M343" s="2097"/>
      <c r="N343" s="2097"/>
    </row>
    <row r="344" spans="1:14">
      <c r="A344" s="2097"/>
      <c r="B344" s="2097"/>
      <c r="C344" s="2097"/>
      <c r="D344" s="2097"/>
      <c r="E344" s="2097"/>
      <c r="F344" s="2097"/>
      <c r="G344" s="2097"/>
      <c r="H344" s="2097"/>
      <c r="I344" s="2097"/>
      <c r="J344" s="2097"/>
      <c r="K344" s="2097"/>
      <c r="L344" s="2097"/>
      <c r="M344" s="2097"/>
      <c r="N344" s="2097"/>
    </row>
    <row r="345" spans="1:14">
      <c r="A345" s="2097"/>
      <c r="B345" s="2097"/>
      <c r="C345" s="2097"/>
      <c r="D345" s="2097"/>
      <c r="E345" s="2097"/>
      <c r="F345" s="2097"/>
      <c r="G345" s="2097"/>
      <c r="H345" s="2097"/>
      <c r="I345" s="2097"/>
      <c r="J345" s="2097"/>
      <c r="K345" s="2097"/>
      <c r="L345" s="2097"/>
      <c r="M345" s="2097"/>
      <c r="N345" s="2097"/>
    </row>
    <row r="346" spans="1:14">
      <c r="A346" s="2097"/>
      <c r="B346" s="2097"/>
      <c r="C346" s="2097"/>
      <c r="D346" s="2097"/>
      <c r="E346" s="2097"/>
      <c r="F346" s="2097"/>
      <c r="G346" s="2097"/>
      <c r="H346" s="2097"/>
      <c r="I346" s="2097"/>
      <c r="J346" s="2097"/>
      <c r="K346" s="2097"/>
      <c r="L346" s="2097"/>
      <c r="M346" s="2097"/>
      <c r="N346" s="2097"/>
    </row>
    <row r="347" spans="1:14">
      <c r="A347" s="2097"/>
      <c r="B347" s="2097"/>
      <c r="C347" s="2097"/>
      <c r="D347" s="2097"/>
      <c r="E347" s="2097"/>
      <c r="F347" s="2097"/>
      <c r="G347" s="2097"/>
      <c r="H347" s="2097"/>
      <c r="I347" s="2097"/>
      <c r="J347" s="2097"/>
      <c r="K347" s="2097"/>
      <c r="L347" s="2097"/>
      <c r="M347" s="2097"/>
      <c r="N347" s="2097"/>
    </row>
    <row r="348" spans="1:14">
      <c r="A348" s="2097"/>
      <c r="B348" s="2097"/>
      <c r="C348" s="2097"/>
      <c r="D348" s="2097"/>
      <c r="E348" s="2097"/>
      <c r="F348" s="2097"/>
      <c r="G348" s="2097"/>
      <c r="H348" s="2097"/>
      <c r="I348" s="2097"/>
      <c r="J348" s="2097"/>
      <c r="K348" s="2097"/>
      <c r="L348" s="2097"/>
      <c r="M348" s="2097"/>
      <c r="N348" s="2097"/>
    </row>
    <row r="349" spans="1:14">
      <c r="A349" s="2097"/>
      <c r="B349" s="2097"/>
      <c r="C349" s="2097"/>
      <c r="D349" s="2097"/>
      <c r="E349" s="2097"/>
      <c r="F349" s="2097"/>
      <c r="G349" s="2097"/>
      <c r="H349" s="2097"/>
      <c r="I349" s="2097"/>
      <c r="J349" s="2097"/>
      <c r="K349" s="2097"/>
      <c r="L349" s="2097"/>
      <c r="M349" s="2097"/>
      <c r="N349" s="2097"/>
    </row>
    <row r="350" spans="1:14">
      <c r="A350" s="2097"/>
      <c r="B350" s="2097"/>
      <c r="C350" s="2097"/>
      <c r="D350" s="2097"/>
      <c r="E350" s="2097"/>
      <c r="F350" s="2097"/>
      <c r="G350" s="2097"/>
      <c r="H350" s="2097"/>
      <c r="I350" s="2097"/>
      <c r="J350" s="2097"/>
      <c r="K350" s="2097"/>
      <c r="L350" s="2097"/>
      <c r="M350" s="2097"/>
      <c r="N350" s="2097"/>
    </row>
    <row r="351" spans="1:14">
      <c r="A351" s="2097"/>
      <c r="B351" s="2097"/>
      <c r="C351" s="2097"/>
      <c r="D351" s="2097"/>
      <c r="E351" s="2097"/>
      <c r="F351" s="2097"/>
      <c r="G351" s="2097"/>
      <c r="H351" s="2097"/>
      <c r="I351" s="2097"/>
      <c r="J351" s="2097"/>
      <c r="K351" s="2097"/>
      <c r="L351" s="2097"/>
      <c r="M351" s="2097"/>
      <c r="N351" s="2097"/>
    </row>
    <row r="352" spans="1:14">
      <c r="A352" s="2097"/>
      <c r="B352" s="2097"/>
      <c r="C352" s="2097"/>
      <c r="D352" s="2097"/>
      <c r="E352" s="2097"/>
      <c r="F352" s="2097"/>
      <c r="G352" s="2097"/>
      <c r="H352" s="2097"/>
      <c r="I352" s="2097"/>
      <c r="J352" s="2097"/>
      <c r="K352" s="2097"/>
      <c r="L352" s="2097"/>
      <c r="M352" s="2097"/>
      <c r="N352" s="2097"/>
    </row>
    <row r="353" spans="1:14">
      <c r="A353" s="2097"/>
      <c r="B353" s="2097"/>
      <c r="C353" s="2097"/>
      <c r="D353" s="2097"/>
      <c r="E353" s="2097"/>
      <c r="F353" s="2097"/>
      <c r="G353" s="2097"/>
      <c r="H353" s="2097"/>
      <c r="I353" s="2097"/>
      <c r="J353" s="2097"/>
      <c r="K353" s="2097"/>
      <c r="L353" s="2097"/>
      <c r="M353" s="2097"/>
      <c r="N353" s="2097"/>
    </row>
    <row r="354" spans="1:14">
      <c r="A354" s="2097"/>
      <c r="B354" s="2097"/>
      <c r="C354" s="2097"/>
      <c r="D354" s="2097"/>
      <c r="E354" s="2097"/>
      <c r="F354" s="2097"/>
      <c r="G354" s="2097"/>
      <c r="H354" s="2097"/>
      <c r="I354" s="2097"/>
      <c r="J354" s="2097"/>
      <c r="K354" s="2097"/>
      <c r="L354" s="2097"/>
      <c r="M354" s="2097"/>
      <c r="N354" s="2097"/>
    </row>
    <row r="355" spans="1:14">
      <c r="A355" s="2097"/>
      <c r="B355" s="2097"/>
      <c r="C355" s="2097"/>
      <c r="D355" s="2097"/>
      <c r="E355" s="2097"/>
      <c r="F355" s="2097"/>
      <c r="G355" s="2097"/>
      <c r="H355" s="2097"/>
      <c r="I355" s="2097"/>
      <c r="J355" s="2097"/>
      <c r="K355" s="2097"/>
      <c r="L355" s="2097"/>
      <c r="M355" s="2097"/>
      <c r="N355" s="2097"/>
    </row>
    <row r="356" spans="1:14">
      <c r="A356" s="2097"/>
      <c r="B356" s="2097"/>
      <c r="C356" s="2097"/>
      <c r="D356" s="2097"/>
      <c r="E356" s="2097"/>
      <c r="F356" s="2097"/>
      <c r="G356" s="2097"/>
      <c r="H356" s="2097"/>
      <c r="I356" s="2097"/>
      <c r="J356" s="2097"/>
      <c r="K356" s="2097"/>
      <c r="L356" s="2097"/>
      <c r="M356" s="2097"/>
      <c r="N356" s="2097"/>
    </row>
    <row r="357" spans="1:14">
      <c r="A357" s="2097"/>
      <c r="B357" s="2097"/>
      <c r="C357" s="2097"/>
      <c r="D357" s="2097"/>
      <c r="E357" s="2097"/>
      <c r="F357" s="2097"/>
      <c r="G357" s="2097"/>
      <c r="H357" s="2097"/>
      <c r="I357" s="2097"/>
      <c r="J357" s="2097"/>
      <c r="K357" s="2097"/>
      <c r="L357" s="2097"/>
      <c r="M357" s="2097"/>
      <c r="N357" s="2097"/>
    </row>
    <row r="358" spans="1:14">
      <c r="A358" s="2097"/>
      <c r="B358" s="2097"/>
      <c r="C358" s="2097"/>
      <c r="D358" s="2097"/>
      <c r="E358" s="2097"/>
      <c r="F358" s="2097"/>
      <c r="G358" s="2097"/>
      <c r="H358" s="2097"/>
      <c r="I358" s="2097"/>
      <c r="J358" s="2097"/>
      <c r="K358" s="2097"/>
      <c r="L358" s="2097"/>
      <c r="M358" s="2097"/>
      <c r="N358" s="2097"/>
    </row>
    <row r="359" spans="1:14">
      <c r="A359" s="2097"/>
      <c r="B359" s="2097"/>
      <c r="C359" s="2097"/>
      <c r="D359" s="2097"/>
      <c r="E359" s="2097"/>
      <c r="F359" s="2097"/>
      <c r="G359" s="2097"/>
      <c r="H359" s="2097"/>
      <c r="I359" s="2097"/>
      <c r="J359" s="2097"/>
      <c r="K359" s="2097"/>
      <c r="L359" s="2097"/>
      <c r="M359" s="2097"/>
      <c r="N359" s="2097"/>
    </row>
    <row r="360" spans="1:14">
      <c r="A360" s="2097"/>
      <c r="B360" s="2097"/>
      <c r="C360" s="2097"/>
      <c r="D360" s="2097"/>
      <c r="E360" s="2097"/>
      <c r="F360" s="2097"/>
      <c r="G360" s="2097"/>
      <c r="H360" s="2097"/>
      <c r="I360" s="2097"/>
      <c r="J360" s="2097"/>
      <c r="K360" s="2097"/>
      <c r="L360" s="2097"/>
      <c r="M360" s="2097"/>
      <c r="N360" s="2097"/>
    </row>
    <row r="361" spans="1:14">
      <c r="A361" s="2097"/>
      <c r="B361" s="2097"/>
      <c r="C361" s="2097"/>
      <c r="D361" s="2097"/>
      <c r="E361" s="2097"/>
      <c r="F361" s="2097"/>
      <c r="G361" s="2097"/>
      <c r="H361" s="2097"/>
      <c r="I361" s="2097"/>
      <c r="J361" s="2097"/>
      <c r="K361" s="2097"/>
      <c r="L361" s="2097"/>
      <c r="M361" s="2097"/>
      <c r="N361" s="2097"/>
    </row>
    <row r="362" spans="1:14">
      <c r="A362" s="2097"/>
      <c r="B362" s="2097"/>
      <c r="C362" s="2097"/>
      <c r="D362" s="2097"/>
      <c r="E362" s="2097"/>
      <c r="F362" s="2097"/>
      <c r="G362" s="2097"/>
      <c r="H362" s="2097"/>
      <c r="I362" s="2097"/>
      <c r="J362" s="2097"/>
      <c r="K362" s="2097"/>
      <c r="L362" s="2097"/>
      <c r="M362" s="2097"/>
      <c r="N362" s="2097"/>
    </row>
    <row r="363" spans="1:14">
      <c r="A363" s="2097"/>
      <c r="B363" s="2097"/>
      <c r="C363" s="2097"/>
      <c r="D363" s="2097"/>
      <c r="E363" s="2097"/>
      <c r="F363" s="2097"/>
      <c r="G363" s="2097"/>
      <c r="H363" s="2097"/>
      <c r="I363" s="2097"/>
      <c r="J363" s="2097"/>
      <c r="K363" s="2097"/>
      <c r="L363" s="2097"/>
      <c r="M363" s="2097"/>
      <c r="N363" s="2097"/>
    </row>
    <row r="364" spans="1:14">
      <c r="A364" s="2097"/>
      <c r="B364" s="2097"/>
      <c r="C364" s="2097"/>
      <c r="D364" s="2097"/>
      <c r="E364" s="2097"/>
      <c r="F364" s="2097"/>
      <c r="G364" s="2097"/>
      <c r="H364" s="2097"/>
      <c r="I364" s="2097"/>
      <c r="J364" s="2097"/>
      <c r="K364" s="2097"/>
      <c r="L364" s="2097"/>
      <c r="M364" s="2097"/>
      <c r="N364" s="2097"/>
    </row>
    <row r="365" spans="1:14">
      <c r="A365" s="2097"/>
      <c r="B365" s="2097"/>
      <c r="C365" s="2097"/>
      <c r="D365" s="2097"/>
      <c r="E365" s="2097"/>
      <c r="F365" s="2097"/>
      <c r="G365" s="2097"/>
      <c r="H365" s="2097"/>
      <c r="I365" s="2097"/>
      <c r="J365" s="2097"/>
      <c r="K365" s="2097"/>
      <c r="L365" s="2097"/>
      <c r="M365" s="2097"/>
      <c r="N365" s="2097"/>
    </row>
    <row r="366" spans="1:14">
      <c r="A366" s="2097"/>
      <c r="B366" s="2097"/>
      <c r="C366" s="2097"/>
      <c r="D366" s="2097"/>
      <c r="E366" s="2097"/>
      <c r="F366" s="2097"/>
      <c r="G366" s="2097"/>
      <c r="H366" s="2097"/>
      <c r="I366" s="2097"/>
      <c r="J366" s="2097"/>
      <c r="K366" s="2097"/>
      <c r="L366" s="2097"/>
      <c r="M366" s="2097"/>
      <c r="N366" s="2097"/>
    </row>
    <row r="367" spans="1:14">
      <c r="A367" s="2097"/>
      <c r="B367" s="2097"/>
      <c r="C367" s="2097"/>
      <c r="D367" s="2097"/>
      <c r="E367" s="2097"/>
      <c r="F367" s="2097"/>
      <c r="G367" s="2097"/>
      <c r="H367" s="2097"/>
      <c r="I367" s="2097"/>
      <c r="J367" s="2097"/>
      <c r="K367" s="2097"/>
      <c r="L367" s="2097"/>
      <c r="M367" s="2097"/>
      <c r="N367" s="2097"/>
    </row>
    <row r="368" spans="1:14">
      <c r="A368" s="2097"/>
      <c r="B368" s="2097"/>
      <c r="C368" s="2097"/>
      <c r="D368" s="2097"/>
      <c r="E368" s="2097"/>
      <c r="F368" s="2097"/>
      <c r="G368" s="2097"/>
      <c r="H368" s="2097"/>
      <c r="I368" s="2097"/>
      <c r="J368" s="2097"/>
      <c r="K368" s="2097"/>
      <c r="L368" s="2097"/>
      <c r="M368" s="2097"/>
      <c r="N368" s="2097"/>
    </row>
    <row r="369" spans="1:14">
      <c r="A369" s="2097"/>
      <c r="B369" s="2097"/>
      <c r="C369" s="2097"/>
      <c r="D369" s="2097"/>
      <c r="E369" s="2097"/>
      <c r="F369" s="2097"/>
      <c r="G369" s="2097"/>
      <c r="H369" s="2097"/>
      <c r="I369" s="2097"/>
      <c r="J369" s="2097"/>
      <c r="K369" s="2097"/>
      <c r="L369" s="2097"/>
      <c r="M369" s="2097"/>
      <c r="N369" s="2097"/>
    </row>
    <row r="370" spans="1:14">
      <c r="A370" s="2097"/>
      <c r="B370" s="2097"/>
      <c r="C370" s="2097"/>
      <c r="D370" s="2097"/>
      <c r="E370" s="2097"/>
      <c r="F370" s="2097"/>
      <c r="G370" s="2097"/>
      <c r="H370" s="2097"/>
      <c r="I370" s="2097"/>
      <c r="J370" s="2097"/>
      <c r="K370" s="2097"/>
      <c r="L370" s="2097"/>
      <c r="M370" s="2097"/>
      <c r="N370" s="2097"/>
    </row>
    <row r="371" spans="1:14">
      <c r="A371" s="2097"/>
      <c r="B371" s="2097"/>
      <c r="C371" s="2097"/>
      <c r="D371" s="2097"/>
      <c r="E371" s="2097"/>
      <c r="F371" s="2097"/>
      <c r="G371" s="2097"/>
      <c r="H371" s="2097"/>
      <c r="I371" s="2097"/>
      <c r="J371" s="2097"/>
      <c r="K371" s="2097"/>
      <c r="L371" s="2097"/>
      <c r="M371" s="2097"/>
      <c r="N371" s="2097"/>
    </row>
    <row r="372" spans="1:14">
      <c r="A372" s="2097"/>
      <c r="B372" s="2097"/>
      <c r="C372" s="2097"/>
      <c r="D372" s="2097"/>
      <c r="E372" s="2097"/>
      <c r="F372" s="2097"/>
      <c r="G372" s="2097"/>
      <c r="H372" s="2097"/>
      <c r="I372" s="2097"/>
      <c r="J372" s="2097"/>
      <c r="K372" s="2097"/>
      <c r="L372" s="2097"/>
      <c r="M372" s="2097"/>
      <c r="N372" s="2097"/>
    </row>
    <row r="373" spans="1:14">
      <c r="A373" s="2097"/>
      <c r="B373" s="2097"/>
      <c r="C373" s="2097"/>
      <c r="D373" s="2097"/>
      <c r="E373" s="2097"/>
      <c r="F373" s="2097"/>
      <c r="G373" s="2097"/>
      <c r="H373" s="2097"/>
      <c r="I373" s="2097"/>
      <c r="J373" s="2097"/>
      <c r="K373" s="2097"/>
      <c r="L373" s="2097"/>
      <c r="M373" s="2097"/>
      <c r="N373" s="2097"/>
    </row>
    <row r="374" spans="1:14">
      <c r="A374" s="2097"/>
      <c r="B374" s="2097"/>
      <c r="C374" s="2097"/>
      <c r="D374" s="2097"/>
      <c r="E374" s="2097"/>
      <c r="F374" s="2097"/>
      <c r="G374" s="2097"/>
      <c r="H374" s="2097"/>
      <c r="I374" s="2097"/>
      <c r="J374" s="2097"/>
      <c r="K374" s="2097"/>
      <c r="L374" s="2097"/>
      <c r="M374" s="2097"/>
      <c r="N374" s="2097"/>
    </row>
    <row r="375" spans="1:14">
      <c r="A375" s="2097"/>
      <c r="B375" s="2097"/>
      <c r="C375" s="2097"/>
      <c r="D375" s="2097"/>
      <c r="E375" s="2097"/>
      <c r="F375" s="2097"/>
      <c r="G375" s="2097"/>
      <c r="H375" s="2097"/>
      <c r="I375" s="2097"/>
      <c r="J375" s="2097"/>
      <c r="K375" s="2097"/>
      <c r="L375" s="2097"/>
      <c r="M375" s="2097"/>
      <c r="N375" s="2097"/>
    </row>
    <row r="376" spans="1:14">
      <c r="A376" s="2097"/>
      <c r="B376" s="2097"/>
      <c r="C376" s="2097"/>
      <c r="D376" s="2097"/>
      <c r="E376" s="2097"/>
      <c r="F376" s="2097"/>
      <c r="G376" s="2097"/>
      <c r="H376" s="2097"/>
      <c r="I376" s="2097"/>
      <c r="J376" s="2097"/>
      <c r="K376" s="2097"/>
      <c r="L376" s="2097"/>
      <c r="M376" s="2097"/>
      <c r="N376" s="2097"/>
    </row>
    <row r="377" spans="1:14">
      <c r="A377" s="2097"/>
      <c r="B377" s="2097"/>
      <c r="C377" s="2097"/>
      <c r="D377" s="2097"/>
      <c r="E377" s="2097"/>
      <c r="F377" s="2097"/>
      <c r="G377" s="2097"/>
      <c r="H377" s="2097"/>
      <c r="I377" s="2097"/>
      <c r="J377" s="2097"/>
      <c r="K377" s="2097"/>
      <c r="L377" s="2097"/>
      <c r="M377" s="2097"/>
      <c r="N377" s="2097"/>
    </row>
    <row r="378" spans="1:14">
      <c r="A378" s="2097"/>
      <c r="B378" s="2097"/>
      <c r="C378" s="2097"/>
      <c r="D378" s="2097"/>
      <c r="E378" s="2097"/>
      <c r="F378" s="2097"/>
      <c r="G378" s="2097"/>
      <c r="H378" s="2097"/>
      <c r="I378" s="2097"/>
      <c r="J378" s="2097"/>
      <c r="K378" s="2097"/>
      <c r="L378" s="2097"/>
      <c r="M378" s="2097"/>
      <c r="N378" s="2097"/>
    </row>
    <row r="379" spans="1:14">
      <c r="A379" s="2097"/>
      <c r="B379" s="2097"/>
      <c r="C379" s="2097"/>
      <c r="D379" s="2097"/>
      <c r="E379" s="2097"/>
      <c r="F379" s="2097"/>
      <c r="G379" s="2097"/>
      <c r="H379" s="2097"/>
      <c r="I379" s="2097"/>
      <c r="J379" s="2097"/>
      <c r="K379" s="2097"/>
      <c r="L379" s="2097"/>
      <c r="M379" s="2097"/>
      <c r="N379" s="2097"/>
    </row>
    <row r="380" spans="1:14">
      <c r="A380" s="2097"/>
      <c r="B380" s="2097"/>
      <c r="C380" s="2097"/>
      <c r="D380" s="2097"/>
      <c r="E380" s="2097"/>
      <c r="F380" s="2097"/>
      <c r="G380" s="2097"/>
      <c r="H380" s="2097"/>
      <c r="I380" s="2097"/>
      <c r="J380" s="2097"/>
      <c r="K380" s="2097"/>
      <c r="L380" s="2097"/>
      <c r="M380" s="2097"/>
      <c r="N380" s="2097"/>
    </row>
    <row r="381" spans="1:14">
      <c r="A381" s="2097"/>
      <c r="B381" s="2097"/>
      <c r="C381" s="2097"/>
      <c r="D381" s="2097"/>
      <c r="E381" s="2097"/>
      <c r="F381" s="2097"/>
      <c r="G381" s="2097"/>
      <c r="H381" s="2097"/>
      <c r="I381" s="2097"/>
      <c r="J381" s="2097"/>
      <c r="K381" s="2097"/>
      <c r="L381" s="2097"/>
      <c r="M381" s="2097"/>
      <c r="N381" s="2097"/>
    </row>
    <row r="382" spans="1:14">
      <c r="A382" s="2097"/>
      <c r="B382" s="2097"/>
      <c r="C382" s="2097"/>
      <c r="D382" s="2097"/>
      <c r="E382" s="2097"/>
      <c r="F382" s="2097"/>
      <c r="G382" s="2097"/>
      <c r="H382" s="2097"/>
      <c r="I382" s="2097"/>
      <c r="J382" s="2097"/>
      <c r="K382" s="2097"/>
      <c r="L382" s="2097"/>
      <c r="M382" s="2097"/>
      <c r="N382" s="2097"/>
    </row>
    <row r="383" spans="1:14">
      <c r="A383" s="2097"/>
      <c r="B383" s="2097"/>
      <c r="C383" s="2097"/>
      <c r="D383" s="2097"/>
      <c r="E383" s="2097"/>
      <c r="F383" s="2097"/>
      <c r="G383" s="2097"/>
      <c r="H383" s="2097"/>
      <c r="I383" s="2097"/>
      <c r="J383" s="2097"/>
      <c r="K383" s="2097"/>
      <c r="L383" s="2097"/>
      <c r="M383" s="2097"/>
      <c r="N383" s="2097"/>
    </row>
    <row r="384" spans="1:14">
      <c r="A384" s="2097"/>
      <c r="B384" s="2097"/>
      <c r="C384" s="2097"/>
      <c r="D384" s="2097"/>
      <c r="E384" s="2097"/>
      <c r="F384" s="2097"/>
      <c r="G384" s="2097"/>
      <c r="H384" s="2097"/>
      <c r="I384" s="2097"/>
      <c r="J384" s="2097"/>
      <c r="K384" s="2097"/>
      <c r="L384" s="2097"/>
      <c r="M384" s="2097"/>
      <c r="N384" s="2097"/>
    </row>
    <row r="385" spans="1:14">
      <c r="A385" s="2097"/>
      <c r="B385" s="2097"/>
      <c r="C385" s="2097"/>
      <c r="D385" s="2097"/>
      <c r="E385" s="2097"/>
      <c r="F385" s="2097"/>
      <c r="G385" s="2097"/>
      <c r="H385" s="2097"/>
      <c r="I385" s="2097"/>
      <c r="J385" s="2097"/>
      <c r="K385" s="2097"/>
      <c r="L385" s="2097"/>
      <c r="M385" s="2097"/>
      <c r="N385" s="2097"/>
    </row>
    <row r="386" spans="1:14">
      <c r="A386" s="2097"/>
      <c r="B386" s="2097"/>
      <c r="C386" s="2097"/>
      <c r="D386" s="2097"/>
      <c r="E386" s="2097"/>
      <c r="F386" s="2097"/>
      <c r="G386" s="2097"/>
      <c r="H386" s="2097"/>
      <c r="I386" s="2097"/>
      <c r="J386" s="2097"/>
      <c r="K386" s="2097"/>
      <c r="L386" s="2097"/>
      <c r="M386" s="2097"/>
      <c r="N386" s="2097"/>
    </row>
    <row r="387" spans="1:14">
      <c r="A387" s="2097"/>
      <c r="B387" s="2097"/>
      <c r="C387" s="2097"/>
      <c r="D387" s="2097"/>
      <c r="E387" s="2097"/>
      <c r="F387" s="2097"/>
      <c r="G387" s="2097"/>
      <c r="H387" s="2097"/>
      <c r="I387" s="2097"/>
      <c r="J387" s="2097"/>
      <c r="K387" s="2097"/>
      <c r="L387" s="2097"/>
      <c r="M387" s="2097"/>
      <c r="N387" s="2097"/>
    </row>
    <row r="388" spans="1:14">
      <c r="A388" s="2097"/>
      <c r="B388" s="2097"/>
      <c r="C388" s="2097"/>
      <c r="D388" s="2097"/>
      <c r="E388" s="2097"/>
      <c r="F388" s="2097"/>
      <c r="G388" s="2097"/>
      <c r="H388" s="2097"/>
      <c r="I388" s="2097"/>
      <c r="J388" s="2097"/>
      <c r="K388" s="2097"/>
      <c r="L388" s="2097"/>
      <c r="M388" s="2097"/>
      <c r="N388" s="2097"/>
    </row>
    <row r="389" spans="1:14">
      <c r="A389" s="2097"/>
      <c r="B389" s="2097"/>
      <c r="C389" s="2097"/>
      <c r="D389" s="2097"/>
      <c r="E389" s="2097"/>
      <c r="F389" s="2097"/>
      <c r="G389" s="2097"/>
      <c r="H389" s="2097"/>
      <c r="I389" s="2097"/>
      <c r="J389" s="2097"/>
      <c r="K389" s="2097"/>
      <c r="L389" s="2097"/>
      <c r="M389" s="2097"/>
      <c r="N389" s="2097"/>
    </row>
  </sheetData>
  <mergeCells count="13">
    <mergeCell ref="F111:K112"/>
    <mergeCell ref="F113:K114"/>
    <mergeCell ref="B2:L2"/>
    <mergeCell ref="A4:M4"/>
    <mergeCell ref="A5:M5"/>
    <mergeCell ref="A43:K43"/>
    <mergeCell ref="A7:M7"/>
    <mergeCell ref="A8:M8"/>
    <mergeCell ref="C10:D10"/>
    <mergeCell ref="E10:H10"/>
    <mergeCell ref="J30:O31"/>
    <mergeCell ref="K15:M15"/>
    <mergeCell ref="J16:J17"/>
  </mergeCells>
  <phoneticPr fontId="184" type="noConversion"/>
  <dataValidations count="1">
    <dataValidation type="list" showDropDown="1" showInputMessage="1" showErrorMessage="1" errorTitle="Wrong input" error="Only values &quot;0&quot; and &quot;29&quot; are allowed_x000a_" sqref="C119 WVK983159 WLO983159 WBS983159 VRW983159 VIA983159 UYE983159 UOI983159 UEM983159 TUQ983159 TKU983159 TAY983159 SRC983159 SHG983159 RXK983159 RNO983159 RDS983159 QTW983159 QKA983159 QAE983159 PQI983159 PGM983159 OWQ983159 OMU983159 OCY983159 NTC983159 NJG983159 MZK983159 MPO983159 MFS983159 LVW983159 LMA983159 LCE983159 KSI983159 KIM983159 JYQ983159 JOU983159 JEY983159 IVC983159 ILG983159 IBK983159 HRO983159 HHS983159 GXW983159 GOA983159 GEE983159 FUI983159 FKM983159 FAQ983159 EQU983159 EGY983159 DXC983159 DNG983159 DDK983159 CTO983159 CJS983159 BZW983159 BQA983159 BGE983159 AWI983159 AMM983159 ACQ983159 SU983159 IY983159 C983159 WVK917623 WLO917623 WBS917623 VRW917623 VIA917623 UYE917623 UOI917623 UEM917623 TUQ917623 TKU917623 TAY917623 SRC917623 SHG917623 RXK917623 RNO917623 RDS917623 QTW917623 QKA917623 QAE917623 PQI917623 PGM917623 OWQ917623 OMU917623 OCY917623 NTC917623 NJG917623 MZK917623 MPO917623 MFS917623 LVW917623 LMA917623 LCE917623 KSI917623 KIM917623 JYQ917623 JOU917623 JEY917623 IVC917623 ILG917623 IBK917623 HRO917623 HHS917623 GXW917623 GOA917623 GEE917623 FUI917623 FKM917623 FAQ917623 EQU917623 EGY917623 DXC917623 DNG917623 DDK917623 CTO917623 CJS917623 BZW917623 BQA917623 BGE917623 AWI917623 AMM917623 ACQ917623 SU917623 IY917623 C917623 WVK852087 WLO852087 WBS852087 VRW852087 VIA852087 UYE852087 UOI852087 UEM852087 TUQ852087 TKU852087 TAY852087 SRC852087 SHG852087 RXK852087 RNO852087 RDS852087 QTW852087 QKA852087 QAE852087 PQI852087 PGM852087 OWQ852087 OMU852087 OCY852087 NTC852087 NJG852087 MZK852087 MPO852087 MFS852087 LVW852087 LMA852087 LCE852087 KSI852087 KIM852087 JYQ852087 JOU852087 JEY852087 IVC852087 ILG852087 IBK852087 HRO852087 HHS852087 GXW852087 GOA852087 GEE852087 FUI852087 FKM852087 FAQ852087 EQU852087 EGY852087 DXC852087 DNG852087 DDK852087 CTO852087 CJS852087 BZW852087 BQA852087 BGE852087 AWI852087 AMM852087 ACQ852087 SU852087 IY852087 C852087 WVK786551 WLO786551 WBS786551 VRW786551 VIA786551 UYE786551 UOI786551 UEM786551 TUQ786551 TKU786551 TAY786551 SRC786551 SHG786551 RXK786551 RNO786551 RDS786551 QTW786551 QKA786551 QAE786551 PQI786551 PGM786551 OWQ786551 OMU786551 OCY786551 NTC786551 NJG786551 MZK786551 MPO786551 MFS786551 LVW786551 LMA786551 LCE786551 KSI786551 KIM786551 JYQ786551 JOU786551 JEY786551 IVC786551 ILG786551 IBK786551 HRO786551 HHS786551 GXW786551 GOA786551 GEE786551 FUI786551 FKM786551 FAQ786551 EQU786551 EGY786551 DXC786551 DNG786551 DDK786551 CTO786551 CJS786551 BZW786551 BQA786551 BGE786551 AWI786551 AMM786551 ACQ786551 SU786551 IY786551 C786551 WVK721015 WLO721015 WBS721015 VRW721015 VIA721015 UYE721015 UOI721015 UEM721015 TUQ721015 TKU721015 TAY721015 SRC721015 SHG721015 RXK721015 RNO721015 RDS721015 QTW721015 QKA721015 QAE721015 PQI721015 PGM721015 OWQ721015 OMU721015 OCY721015 NTC721015 NJG721015 MZK721015 MPO721015 MFS721015 LVW721015 LMA721015 LCE721015 KSI721015 KIM721015 JYQ721015 JOU721015 JEY721015 IVC721015 ILG721015 IBK721015 HRO721015 HHS721015 GXW721015 GOA721015 GEE721015 FUI721015 FKM721015 FAQ721015 EQU721015 EGY721015 DXC721015 DNG721015 DDK721015 CTO721015 CJS721015 BZW721015 BQA721015 BGE721015 AWI721015 AMM721015 ACQ721015 SU721015 IY721015 C721015 WVK655479 WLO655479 WBS655479 VRW655479 VIA655479 UYE655479 UOI655479 UEM655479 TUQ655479 TKU655479 TAY655479 SRC655479 SHG655479 RXK655479 RNO655479 RDS655479 QTW655479 QKA655479 QAE655479 PQI655479 PGM655479 OWQ655479 OMU655479 OCY655479 NTC655479 NJG655479 MZK655479 MPO655479 MFS655479 LVW655479 LMA655479 LCE655479 KSI655479 KIM655479 JYQ655479 JOU655479 JEY655479 IVC655479 ILG655479 IBK655479 HRO655479 HHS655479 GXW655479 GOA655479 GEE655479 FUI655479 FKM655479 FAQ655479 EQU655479 EGY655479 DXC655479 DNG655479 DDK655479 CTO655479 CJS655479 BZW655479 BQA655479 BGE655479 AWI655479 AMM655479 ACQ655479 SU655479 IY655479 C655479 WVK589943 WLO589943 WBS589943 VRW589943 VIA589943 UYE589943 UOI589943 UEM589943 TUQ589943 TKU589943 TAY589943 SRC589943 SHG589943 RXK589943 RNO589943 RDS589943 QTW589943 QKA589943 QAE589943 PQI589943 PGM589943 OWQ589943 OMU589943 OCY589943 NTC589943 NJG589943 MZK589943 MPO589943 MFS589943 LVW589943 LMA589943 LCE589943 KSI589943 KIM589943 JYQ589943 JOU589943 JEY589943 IVC589943 ILG589943 IBK589943 HRO589943 HHS589943 GXW589943 GOA589943 GEE589943 FUI589943 FKM589943 FAQ589943 EQU589943 EGY589943 DXC589943 DNG589943 DDK589943 CTO589943 CJS589943 BZW589943 BQA589943 BGE589943 AWI589943 AMM589943 ACQ589943 SU589943 IY589943 C589943 WVK524407 WLO524407 WBS524407 VRW524407 VIA524407 UYE524407 UOI524407 UEM524407 TUQ524407 TKU524407 TAY524407 SRC524407 SHG524407 RXK524407 RNO524407 RDS524407 QTW524407 QKA524407 QAE524407 PQI524407 PGM524407 OWQ524407 OMU524407 OCY524407 NTC524407 NJG524407 MZK524407 MPO524407 MFS524407 LVW524407 LMA524407 LCE524407 KSI524407 KIM524407 JYQ524407 JOU524407 JEY524407 IVC524407 ILG524407 IBK524407 HRO524407 HHS524407 GXW524407 GOA524407 GEE524407 FUI524407 FKM524407 FAQ524407 EQU524407 EGY524407 DXC524407 DNG524407 DDK524407 CTO524407 CJS524407 BZW524407 BQA524407 BGE524407 AWI524407 AMM524407 ACQ524407 SU524407 IY524407 C524407 WVK458871 WLO458871 WBS458871 VRW458871 VIA458871 UYE458871 UOI458871 UEM458871 TUQ458871 TKU458871 TAY458871 SRC458871 SHG458871 RXK458871 RNO458871 RDS458871 QTW458871 QKA458871 QAE458871 PQI458871 PGM458871 OWQ458871 OMU458871 OCY458871 NTC458871 NJG458871 MZK458871 MPO458871 MFS458871 LVW458871 LMA458871 LCE458871 KSI458871 KIM458871 JYQ458871 JOU458871 JEY458871 IVC458871 ILG458871 IBK458871 HRO458871 HHS458871 GXW458871 GOA458871 GEE458871 FUI458871 FKM458871 FAQ458871 EQU458871 EGY458871 DXC458871 DNG458871 DDK458871 CTO458871 CJS458871 BZW458871 BQA458871 BGE458871 AWI458871 AMM458871 ACQ458871 SU458871 IY458871 C458871 WVK393335 WLO393335 WBS393335 VRW393335 VIA393335 UYE393335 UOI393335 UEM393335 TUQ393335 TKU393335 TAY393335 SRC393335 SHG393335 RXK393335 RNO393335 RDS393335 QTW393335 QKA393335 QAE393335 PQI393335 PGM393335 OWQ393335 OMU393335 OCY393335 NTC393335 NJG393335 MZK393335 MPO393335 MFS393335 LVW393335 LMA393335 LCE393335 KSI393335 KIM393335 JYQ393335 JOU393335 JEY393335 IVC393335 ILG393335 IBK393335 HRO393335 HHS393335 GXW393335 GOA393335 GEE393335 FUI393335 FKM393335 FAQ393335 EQU393335 EGY393335 DXC393335 DNG393335 DDK393335 CTO393335 CJS393335 BZW393335 BQA393335 BGE393335 AWI393335 AMM393335 ACQ393335 SU393335 IY393335 C393335 WVK327799 WLO327799 WBS327799 VRW327799 VIA327799 UYE327799 UOI327799 UEM327799 TUQ327799 TKU327799 TAY327799 SRC327799 SHG327799 RXK327799 RNO327799 RDS327799 QTW327799 QKA327799 QAE327799 PQI327799 PGM327799 OWQ327799 OMU327799 OCY327799 NTC327799 NJG327799 MZK327799 MPO327799 MFS327799 LVW327799 LMA327799 LCE327799 KSI327799 KIM327799 JYQ327799 JOU327799 JEY327799 IVC327799 ILG327799 IBK327799 HRO327799 HHS327799 GXW327799 GOA327799 GEE327799 FUI327799 FKM327799 FAQ327799 EQU327799 EGY327799 DXC327799 DNG327799 DDK327799 CTO327799 CJS327799 BZW327799 BQA327799 BGE327799 AWI327799 AMM327799 ACQ327799 SU327799 IY327799 C327799 WVK262263 WLO262263 WBS262263 VRW262263 VIA262263 UYE262263 UOI262263 UEM262263 TUQ262263 TKU262263 TAY262263 SRC262263 SHG262263 RXK262263 RNO262263 RDS262263 QTW262263 QKA262263 QAE262263 PQI262263 PGM262263 OWQ262263 OMU262263 OCY262263 NTC262263 NJG262263 MZK262263 MPO262263 MFS262263 LVW262263 LMA262263 LCE262263 KSI262263 KIM262263 JYQ262263 JOU262263 JEY262263 IVC262263 ILG262263 IBK262263 HRO262263 HHS262263 GXW262263 GOA262263 GEE262263 FUI262263 FKM262263 FAQ262263 EQU262263 EGY262263 DXC262263 DNG262263 DDK262263 CTO262263 CJS262263 BZW262263 BQA262263 BGE262263 AWI262263 AMM262263 ACQ262263 SU262263 IY262263 C262263 WVK196727 WLO196727 WBS196727 VRW196727 VIA196727 UYE196727 UOI196727 UEM196727 TUQ196727 TKU196727 TAY196727 SRC196727 SHG196727 RXK196727 RNO196727 RDS196727 QTW196727 QKA196727 QAE196727 PQI196727 PGM196727 OWQ196727 OMU196727 OCY196727 NTC196727 NJG196727 MZK196727 MPO196727 MFS196727 LVW196727 LMA196727 LCE196727 KSI196727 KIM196727 JYQ196727 JOU196727 JEY196727 IVC196727 ILG196727 IBK196727 HRO196727 HHS196727 GXW196727 GOA196727 GEE196727 FUI196727 FKM196727 FAQ196727 EQU196727 EGY196727 DXC196727 DNG196727 DDK196727 CTO196727 CJS196727 BZW196727 BQA196727 BGE196727 AWI196727 AMM196727 ACQ196727 SU196727 IY196727 C196727 WVK131191 WLO131191 WBS131191 VRW131191 VIA131191 UYE131191 UOI131191 UEM131191 TUQ131191 TKU131191 TAY131191 SRC131191 SHG131191 RXK131191 RNO131191 RDS131191 QTW131191 QKA131191 QAE131191 PQI131191 PGM131191 OWQ131191 OMU131191 OCY131191 NTC131191 NJG131191 MZK131191 MPO131191 MFS131191 LVW131191 LMA131191 LCE131191 KSI131191 KIM131191 JYQ131191 JOU131191 JEY131191 IVC131191 ILG131191 IBK131191 HRO131191 HHS131191 GXW131191 GOA131191 GEE131191 FUI131191 FKM131191 FAQ131191 EQU131191 EGY131191 DXC131191 DNG131191 DDK131191 CTO131191 CJS131191 BZW131191 BQA131191 BGE131191 AWI131191 AMM131191 ACQ131191 SU131191 IY131191 C131191 WVK65655 WLO65655 WBS65655 VRW65655 VIA65655 UYE65655 UOI65655 UEM65655 TUQ65655 TKU65655 TAY65655 SRC65655 SHG65655 RXK65655 RNO65655 RDS65655 QTW65655 QKA65655 QAE65655 PQI65655 PGM65655 OWQ65655 OMU65655 OCY65655 NTC65655 NJG65655 MZK65655 MPO65655 MFS65655 LVW65655 LMA65655 LCE65655 KSI65655 KIM65655 JYQ65655 JOU65655 JEY65655 IVC65655 ILG65655 IBK65655 HRO65655 HHS65655 GXW65655 GOA65655 GEE65655 FUI65655 FKM65655 FAQ65655 EQU65655 EGY65655 DXC65655 DNG65655 DDK65655 CTO65655 CJS65655 BZW65655 BQA65655 BGE65655 AWI65655 AMM65655 ACQ65655 SU65655 IY65655 C65655 WVK119 WLO119 WBS119 VRW119 VIA119 UYE119 UOI119 UEM119 TUQ119 TKU119 TAY119 SRC119 SHG119 RXK119 RNO119 RDS119 QTW119 QKA119 QAE119 PQI119 PGM119 OWQ119 OMU119 OCY119 NTC119 NJG119 MZK119 MPO119 MFS119 LVW119 LMA119 LCE119 KSI119 KIM119 JYQ119 JOU119 JEY119 IVC119 ILG119 IBK119 HRO119 HHS119 GXW119 GOA119 GEE119 FUI119 FKM119 FAQ119 EQU119 EGY119 DXC119 DNG119 DDK119 CTO119 CJS119 BZW119 BQA119 BGE119 AWI119 AMM119 ACQ119 SU119 IY119">
      <formula1>"0,29"</formula1>
    </dataValidation>
  </dataValidations>
  <pageMargins left="0.7" right="0.7" top="0.75" bottom="0.75" header="0.3" footer="0.3"/>
  <drawing r:id="rId1"/>
  <legacyDrawing r:id="rId2"/>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sheetPr codeName="Blad36">
    <tabColor rgb="FF92D050"/>
    <pageSetUpPr fitToPage="1"/>
  </sheetPr>
  <dimension ref="A1:O389"/>
  <sheetViews>
    <sheetView zoomScale="75" zoomScaleNormal="75" zoomScalePageLayoutView="75" workbookViewId="0">
      <selection activeCell="D39" sqref="D39"/>
    </sheetView>
  </sheetViews>
  <sheetFormatPr defaultColWidth="8.85546875" defaultRowHeight="12.75"/>
  <cols>
    <col min="1" max="1" width="22.42578125" style="1013" customWidth="1"/>
    <col min="2" max="2" width="25.85546875" style="1013" customWidth="1"/>
    <col min="3" max="3" width="11" style="1013" customWidth="1"/>
    <col min="4" max="4" width="20.140625" style="1013" customWidth="1"/>
    <col min="5" max="5" width="12" style="1013" customWidth="1"/>
    <col min="6" max="6" width="11.42578125" style="1013" customWidth="1"/>
    <col min="7" max="7" width="19.42578125" style="1013" customWidth="1"/>
    <col min="8" max="8" width="9.140625" style="1013" customWidth="1"/>
    <col min="9" max="9" width="7.85546875" style="1013" customWidth="1"/>
    <col min="10" max="10" width="12.140625" style="1013" customWidth="1"/>
    <col min="11" max="11" width="16.42578125" style="1013" customWidth="1"/>
    <col min="12" max="12" width="19.7109375" style="1013" customWidth="1"/>
    <col min="13" max="13" width="16.7109375" style="1013" customWidth="1"/>
    <col min="14" max="14" width="13.7109375" style="1013" customWidth="1"/>
    <col min="15" max="16384" width="8.85546875" style="1014"/>
  </cols>
  <sheetData>
    <row r="1" spans="1:14" ht="102" customHeight="1"/>
    <row r="2" spans="1:14" ht="27.75" customHeight="1">
      <c r="A2" s="1015" t="s">
        <v>956</v>
      </c>
      <c r="B2" s="1016" t="s">
        <v>1408</v>
      </c>
      <c r="C2" s="1017" t="s">
        <v>1417</v>
      </c>
      <c r="D2" s="1017" t="s">
        <v>957</v>
      </c>
      <c r="E2" s="1018"/>
      <c r="F2" s="1019"/>
      <c r="G2" s="1020"/>
      <c r="H2" s="1021"/>
      <c r="I2" s="1022"/>
      <c r="J2" s="1023"/>
      <c r="K2" s="1024"/>
      <c r="L2" s="1024"/>
      <c r="M2" s="1024"/>
      <c r="N2" s="1025"/>
    </row>
    <row r="3" spans="1:14" ht="27.75" customHeight="1">
      <c r="A3" s="1026"/>
      <c r="B3" s="1027"/>
      <c r="C3" s="1028"/>
      <c r="D3" s="1028"/>
      <c r="E3" s="1027"/>
      <c r="F3" s="1027"/>
      <c r="G3" s="1029"/>
      <c r="H3" s="1030"/>
      <c r="I3" s="1031"/>
      <c r="J3" s="1032"/>
      <c r="K3" s="1031"/>
      <c r="L3" s="1031"/>
      <c r="M3" s="1014"/>
      <c r="N3" s="1032"/>
    </row>
    <row r="4" spans="1:14" ht="30" customHeight="1">
      <c r="A4" s="1033" t="s">
        <v>1140</v>
      </c>
      <c r="B4" s="1034"/>
      <c r="C4" s="1034"/>
      <c r="D4" s="1034"/>
      <c r="E4" s="1035"/>
      <c r="F4" s="1035"/>
      <c r="G4" s="1036"/>
      <c r="H4" s="1014"/>
      <c r="I4" s="1014"/>
      <c r="J4" s="1014"/>
      <c r="K4" s="1014"/>
      <c r="L4" s="1014"/>
      <c r="M4" s="1014"/>
      <c r="N4" s="1014"/>
    </row>
    <row r="5" spans="1:14" ht="30" customHeight="1">
      <c r="A5" s="1033" t="s">
        <v>1143</v>
      </c>
      <c r="B5" s="1036"/>
      <c r="C5" s="1037"/>
      <c r="D5" s="1014"/>
      <c r="E5" s="1038"/>
      <c r="F5" s="1039"/>
      <c r="G5" s="1040"/>
      <c r="H5" s="1014"/>
      <c r="I5" s="1041"/>
      <c r="J5" s="1042"/>
      <c r="K5" s="1041"/>
      <c r="L5" s="1014"/>
      <c r="M5" s="1043"/>
      <c r="N5" s="1042"/>
    </row>
    <row r="6" spans="1:14" ht="30" customHeight="1">
      <c r="A6" s="1033"/>
      <c r="B6" s="1034"/>
      <c r="C6" s="1044"/>
      <c r="D6" s="1034"/>
      <c r="E6" s="1045"/>
      <c r="F6" s="1045"/>
      <c r="G6" s="1036"/>
      <c r="H6" s="1032"/>
      <c r="I6" s="1046"/>
      <c r="J6" s="1035"/>
      <c r="K6" s="1046"/>
      <c r="L6" s="1014"/>
      <c r="M6" s="1046"/>
      <c r="N6" s="1035"/>
    </row>
    <row r="7" spans="1:14" ht="30" customHeight="1">
      <c r="A7" s="1033" t="s">
        <v>1141</v>
      </c>
      <c r="B7" s="1047"/>
      <c r="C7" s="1048"/>
      <c r="D7" s="1040"/>
      <c r="E7" s="1049"/>
      <c r="F7" s="1050"/>
      <c r="G7" s="1040"/>
      <c r="H7" s="1014"/>
      <c r="I7" s="1051"/>
      <c r="J7" s="1052"/>
      <c r="K7" s="1041"/>
      <c r="L7" s="1014"/>
      <c r="M7" s="1014"/>
      <c r="N7" s="1014"/>
    </row>
    <row r="8" spans="1:14" ht="30.75" customHeight="1">
      <c r="A8" s="1033" t="s">
        <v>1142</v>
      </c>
      <c r="B8" s="1014"/>
      <c r="C8" s="1053"/>
      <c r="D8" s="1054"/>
      <c r="E8" s="1055"/>
      <c r="F8" s="1014"/>
      <c r="G8" s="1014"/>
      <c r="H8" s="1056"/>
      <c r="I8" s="1056"/>
      <c r="J8" s="1056"/>
      <c r="K8" s="1056"/>
      <c r="L8" s="1014"/>
      <c r="M8" s="1057"/>
      <c r="N8" s="1055"/>
    </row>
    <row r="9" spans="1:14">
      <c r="A9" s="1014"/>
      <c r="B9" s="1058"/>
      <c r="C9" s="1059"/>
      <c r="D9" s="1054"/>
      <c r="E9" s="1055"/>
      <c r="F9" s="1014"/>
      <c r="G9" s="1014"/>
      <c r="H9" s="1056"/>
      <c r="I9" s="1056"/>
      <c r="J9" s="1056"/>
      <c r="K9" s="1056"/>
      <c r="L9" s="1014"/>
      <c r="M9" s="1057"/>
      <c r="N9" s="1055"/>
    </row>
    <row r="10" spans="1:14" ht="23.25">
      <c r="A10" s="1060" t="s">
        <v>958</v>
      </c>
      <c r="B10" s="1061" t="s">
        <v>960</v>
      </c>
      <c r="C10" s="1062" t="s">
        <v>959</v>
      </c>
      <c r="D10" s="1014"/>
      <c r="E10" s="1055"/>
      <c r="F10" s="1062" t="s">
        <v>1144</v>
      </c>
      <c r="G10" s="1029"/>
      <c r="H10" s="1063"/>
      <c r="I10" s="1063"/>
      <c r="J10" s="1063"/>
      <c r="K10" s="1063"/>
      <c r="L10" s="1014"/>
      <c r="M10" s="1064"/>
      <c r="N10" s="1065"/>
    </row>
    <row r="11" spans="1:14">
      <c r="A11" s="1014"/>
      <c r="B11" s="1058"/>
      <c r="C11" s="1066"/>
      <c r="D11" s="1014"/>
      <c r="E11" s="1055"/>
      <c r="F11" s="1029"/>
      <c r="G11" s="1029"/>
      <c r="H11" s="1040"/>
      <c r="I11" s="1040"/>
      <c r="J11" s="1040"/>
      <c r="K11" s="1040"/>
      <c r="L11" s="1014"/>
      <c r="M11" s="1014"/>
      <c r="N11" s="1014"/>
    </row>
    <row r="12" spans="1:14" ht="15.75">
      <c r="A12" s="158" t="s">
        <v>1405</v>
      </c>
      <c r="B12" s="159"/>
      <c r="C12" s="159"/>
      <c r="D12" s="159"/>
      <c r="E12" s="159"/>
      <c r="F12" s="159"/>
      <c r="G12" s="159"/>
      <c r="H12" s="159"/>
      <c r="I12" s="1067"/>
      <c r="J12" s="1068"/>
      <c r="K12" s="1069"/>
      <c r="L12" s="1014"/>
      <c r="M12" s="1014"/>
      <c r="N12" s="1014"/>
    </row>
    <row r="13" spans="1:14" ht="18">
      <c r="A13" s="26"/>
      <c r="B13" s="27" t="s">
        <v>1428</v>
      </c>
      <c r="C13" s="28"/>
      <c r="D13" s="28"/>
      <c r="E13" s="1071"/>
      <c r="F13" s="1070"/>
      <c r="G13" s="1070"/>
      <c r="H13" s="1070"/>
      <c r="I13" s="1034"/>
      <c r="J13" s="1068"/>
      <c r="K13" s="1037"/>
      <c r="L13" s="1014"/>
      <c r="M13" s="1014"/>
      <c r="N13" s="1014"/>
    </row>
    <row r="14" spans="1:14" ht="18.75" thickBot="1">
      <c r="A14" s="12"/>
      <c r="B14" s="9" t="s">
        <v>1440</v>
      </c>
      <c r="C14" s="1117">
        <v>5208.2168117301198</v>
      </c>
      <c r="D14" s="29" t="s">
        <v>1430</v>
      </c>
      <c r="E14" s="1071"/>
      <c r="F14" s="1117">
        <v>3067.3</v>
      </c>
      <c r="G14" s="29" t="s">
        <v>1430</v>
      </c>
      <c r="H14" s="1070"/>
      <c r="I14" s="1055"/>
      <c r="J14" s="1055"/>
      <c r="K14" s="1055"/>
      <c r="L14" s="1014"/>
      <c r="M14" s="1014"/>
      <c r="N14" s="1014"/>
    </row>
    <row r="15" spans="1:14" ht="18.75" thickBot="1">
      <c r="A15" s="13"/>
      <c r="B15" s="9" t="s">
        <v>1425</v>
      </c>
      <c r="C15" s="416">
        <v>0.13500000000000001</v>
      </c>
      <c r="D15" s="29"/>
      <c r="E15" s="1071"/>
      <c r="F15" s="416"/>
      <c r="G15" s="29"/>
      <c r="H15" s="1070"/>
      <c r="I15" s="1055"/>
      <c r="J15" s="1118" t="s">
        <v>1145</v>
      </c>
      <c r="K15" s="3269" t="s">
        <v>1146</v>
      </c>
      <c r="L15" s="3270"/>
      <c r="M15" s="3271"/>
      <c r="N15" s="1014"/>
    </row>
    <row r="16" spans="1:14" ht="47.25" customHeight="1" thickBot="1">
      <c r="A16" s="13"/>
      <c r="B16" s="9" t="s">
        <v>1197</v>
      </c>
      <c r="C16" s="417">
        <v>2148.3894348386743</v>
      </c>
      <c r="D16" s="29" t="s">
        <v>1430</v>
      </c>
      <c r="E16" s="1073"/>
      <c r="F16" s="417">
        <f>F14*(1-F15)</f>
        <v>3067.3</v>
      </c>
      <c r="G16" s="29" t="s">
        <v>1430</v>
      </c>
      <c r="H16" s="1070"/>
      <c r="I16" s="1029"/>
      <c r="J16" s="3272" t="s">
        <v>1147</v>
      </c>
      <c r="K16" s="1119" t="s">
        <v>1148</v>
      </c>
      <c r="L16" s="1119" t="s">
        <v>1149</v>
      </c>
      <c r="M16" s="1119" t="s">
        <v>1150</v>
      </c>
      <c r="N16" s="1014"/>
    </row>
    <row r="17" spans="1:15" ht="18.75" thickBot="1">
      <c r="A17" s="13"/>
      <c r="B17" s="9"/>
      <c r="C17" s="14"/>
      <c r="D17" s="29"/>
      <c r="E17" s="1071"/>
      <c r="F17" s="14"/>
      <c r="G17" s="29"/>
      <c r="H17" s="1070"/>
      <c r="I17" s="1075"/>
      <c r="J17" s="3273"/>
      <c r="K17" s="1120">
        <v>6.6000000000000003E-2</v>
      </c>
      <c r="L17" s="1120">
        <v>0.751</v>
      </c>
      <c r="M17" s="1120">
        <v>0.183</v>
      </c>
      <c r="N17" s="1014"/>
    </row>
    <row r="18" spans="1:15" ht="18">
      <c r="A18" s="13"/>
      <c r="B18" s="10" t="s">
        <v>1429</v>
      </c>
      <c r="C18" s="14"/>
      <c r="D18" s="29"/>
      <c r="E18" s="1071"/>
      <c r="F18" s="14"/>
      <c r="G18" s="29"/>
      <c r="H18" s="1070"/>
      <c r="I18" s="1014"/>
      <c r="J18" s="1014"/>
      <c r="K18" s="1014">
        <v>60</v>
      </c>
      <c r="L18" s="1014">
        <f>AVERAGE(61,120)</f>
        <v>90.5</v>
      </c>
      <c r="M18" s="1014">
        <v>120</v>
      </c>
      <c r="N18" s="1014"/>
    </row>
    <row r="19" spans="1:15" ht="18">
      <c r="A19" s="13"/>
      <c r="B19" s="9" t="s">
        <v>1413</v>
      </c>
      <c r="C19" s="417">
        <v>3716.5</v>
      </c>
      <c r="D19" s="29" t="s">
        <v>1431</v>
      </c>
      <c r="E19" s="1073"/>
      <c r="F19" s="417">
        <v>5407.3194444444443</v>
      </c>
      <c r="G19" s="29" t="s">
        <v>1431</v>
      </c>
      <c r="H19" s="1070"/>
      <c r="I19" s="1076"/>
      <c r="J19" s="1076"/>
      <c r="K19" s="1077">
        <f>K18*K17</f>
        <v>3.96</v>
      </c>
      <c r="L19" s="1014">
        <f>L18*L17</f>
        <v>67.965500000000006</v>
      </c>
      <c r="M19" s="1057">
        <f>M18*M17</f>
        <v>21.96</v>
      </c>
      <c r="N19" s="1076">
        <f>SUM(K19:M19)</f>
        <v>93.885500000000008</v>
      </c>
      <c r="O19" s="1014" t="s">
        <v>1153</v>
      </c>
    </row>
    <row r="20" spans="1:15" ht="18">
      <c r="A20" s="13"/>
      <c r="B20" s="9"/>
      <c r="C20" s="14"/>
      <c r="D20" s="29"/>
      <c r="E20" s="1071"/>
      <c r="F20" s="14"/>
      <c r="G20" s="29"/>
      <c r="H20" s="1070"/>
      <c r="I20" s="1076"/>
      <c r="J20" s="1076"/>
      <c r="K20" s="1077"/>
      <c r="L20" s="1014"/>
      <c r="M20" s="1057"/>
      <c r="N20" s="1014"/>
    </row>
    <row r="21" spans="1:15" ht="18">
      <c r="A21" s="13"/>
      <c r="B21" s="10" t="s">
        <v>1449</v>
      </c>
      <c r="C21" s="14"/>
      <c r="D21" s="29"/>
      <c r="E21" s="1071"/>
      <c r="F21" s="14"/>
      <c r="G21" s="29"/>
      <c r="H21" s="1070"/>
      <c r="I21" s="1076"/>
      <c r="J21" s="1121">
        <v>61.7</v>
      </c>
      <c r="K21" s="1077" t="s">
        <v>1151</v>
      </c>
      <c r="L21" s="1076">
        <v>87.638888888888886</v>
      </c>
      <c r="M21" s="1057" t="s">
        <v>1419</v>
      </c>
      <c r="N21" s="1014">
        <f>J21*L21</f>
        <v>5407.3194444444443</v>
      </c>
      <c r="O21" s="1014" t="s">
        <v>1152</v>
      </c>
    </row>
    <row r="22" spans="1:15" ht="18">
      <c r="A22" s="13"/>
      <c r="B22" s="9" t="s">
        <v>980</v>
      </c>
      <c r="C22" s="418">
        <v>109.30441083988111</v>
      </c>
      <c r="D22" s="29" t="s">
        <v>1432</v>
      </c>
      <c r="E22" s="1071"/>
      <c r="F22" s="418">
        <v>93.89</v>
      </c>
      <c r="G22" s="29" t="s">
        <v>1432</v>
      </c>
      <c r="H22" s="1070"/>
      <c r="I22" s="1063"/>
      <c r="J22" s="1063"/>
      <c r="K22" s="1063"/>
      <c r="L22" s="1014"/>
      <c r="M22" s="1064"/>
      <c r="N22" s="1065"/>
    </row>
    <row r="23" spans="1:15" ht="18.75">
      <c r="A23" s="13"/>
      <c r="B23" s="9" t="s">
        <v>982</v>
      </c>
      <c r="C23" s="418">
        <v>16.357714030632511</v>
      </c>
      <c r="D23" s="29" t="s">
        <v>1433</v>
      </c>
      <c r="E23" s="1071"/>
      <c r="F23" s="418"/>
      <c r="G23" s="29" t="s">
        <v>1433</v>
      </c>
      <c r="H23" s="1070"/>
      <c r="I23" s="1014"/>
      <c r="J23" s="1014"/>
      <c r="K23" s="1014"/>
      <c r="L23" s="1014"/>
      <c r="M23" s="1014"/>
      <c r="N23" s="1014"/>
    </row>
    <row r="24" spans="1:15" ht="18.75">
      <c r="A24" s="13"/>
      <c r="B24" s="9" t="s">
        <v>981</v>
      </c>
      <c r="C24" s="418">
        <v>21.636015155139138</v>
      </c>
      <c r="D24" s="29" t="s">
        <v>1434</v>
      </c>
      <c r="E24" s="1071"/>
      <c r="F24" s="418"/>
      <c r="G24" s="29" t="s">
        <v>1434</v>
      </c>
      <c r="H24" s="1070"/>
      <c r="I24" s="1067"/>
      <c r="J24" s="1029"/>
      <c r="K24" s="1069"/>
      <c r="L24" s="1014"/>
      <c r="M24" s="1014"/>
      <c r="N24" s="1014"/>
    </row>
    <row r="25" spans="1:15" ht="18">
      <c r="A25" s="13"/>
      <c r="B25" s="9" t="s">
        <v>1410</v>
      </c>
      <c r="C25" s="418">
        <v>2.335</v>
      </c>
      <c r="D25" s="29" t="s">
        <v>1430</v>
      </c>
      <c r="E25" s="1071"/>
      <c r="F25" s="418"/>
      <c r="G25" s="29" t="s">
        <v>1430</v>
      </c>
      <c r="H25" s="1070"/>
      <c r="I25" s="1067"/>
      <c r="J25" s="1029"/>
      <c r="K25" s="1069"/>
      <c r="L25" s="1014"/>
      <c r="M25" s="1014"/>
      <c r="N25" s="1014"/>
    </row>
    <row r="26" spans="1:15" ht="18">
      <c r="A26" s="13"/>
      <c r="B26" s="9"/>
      <c r="C26" s="16"/>
      <c r="D26" s="29"/>
      <c r="E26" s="1071"/>
      <c r="F26" s="16"/>
      <c r="G26" s="29"/>
      <c r="H26" s="1070"/>
      <c r="I26" s="1055"/>
      <c r="J26" s="1055"/>
      <c r="K26" s="1055"/>
      <c r="L26" s="1014"/>
      <c r="M26" s="1014"/>
      <c r="N26" s="1014"/>
    </row>
    <row r="27" spans="1:15" ht="18">
      <c r="A27" s="13"/>
      <c r="B27" s="10" t="s">
        <v>1415</v>
      </c>
      <c r="C27" s="16"/>
      <c r="D27" s="29"/>
      <c r="E27" s="1073"/>
      <c r="F27" s="16"/>
      <c r="G27" s="29"/>
      <c r="H27" s="1070"/>
      <c r="I27" s="1055"/>
      <c r="J27" s="1055"/>
      <c r="K27" s="1055"/>
      <c r="L27" s="1014"/>
      <c r="M27" s="1072"/>
      <c r="N27" s="1014"/>
    </row>
    <row r="28" spans="1:15" ht="18">
      <c r="A28" s="13"/>
      <c r="B28" s="37" t="s">
        <v>1474</v>
      </c>
      <c r="C28" s="426">
        <v>120</v>
      </c>
      <c r="D28" s="29" t="s">
        <v>1430</v>
      </c>
      <c r="E28" s="1071"/>
      <c r="F28" s="426"/>
      <c r="G28" s="29" t="s">
        <v>1430</v>
      </c>
      <c r="H28" s="1070"/>
      <c r="I28" s="1029"/>
      <c r="J28" s="1029"/>
      <c r="K28" s="1074"/>
      <c r="L28" s="1014"/>
      <c r="M28" s="1032"/>
      <c r="N28" s="1014"/>
    </row>
    <row r="29" spans="1:15" ht="18">
      <c r="A29" s="13"/>
      <c r="B29" s="10"/>
      <c r="C29" s="17"/>
      <c r="D29" s="29"/>
      <c r="E29" s="1073"/>
      <c r="F29" s="17"/>
      <c r="G29" s="29"/>
      <c r="H29" s="1070"/>
      <c r="I29" s="1075"/>
      <c r="J29" s="1075"/>
      <c r="K29" s="1075"/>
      <c r="L29" s="1014"/>
      <c r="M29" s="1075"/>
      <c r="N29" s="1014"/>
    </row>
    <row r="30" spans="1:15" ht="23.25">
      <c r="A30" s="13"/>
      <c r="B30" s="10" t="s">
        <v>1450</v>
      </c>
      <c r="C30" s="419">
        <v>1.8083001106671583</v>
      </c>
      <c r="D30" s="29" t="s">
        <v>1430</v>
      </c>
      <c r="E30" s="1073"/>
      <c r="F30" s="419">
        <v>2.8915855069828575</v>
      </c>
      <c r="G30" s="29" t="s">
        <v>1430</v>
      </c>
      <c r="H30" s="1070"/>
      <c r="I30" s="1075"/>
      <c r="J30" s="1129" t="s">
        <v>1162</v>
      </c>
      <c r="K30" s="1075"/>
      <c r="L30" s="1014"/>
      <c r="M30" s="1014"/>
      <c r="N30" s="1014"/>
    </row>
    <row r="31" spans="1:15">
      <c r="A31" s="13"/>
      <c r="B31" s="10"/>
      <c r="C31" s="20"/>
      <c r="D31" s="9"/>
      <c r="E31" s="1078"/>
      <c r="F31" s="1079"/>
      <c r="G31" s="1080"/>
      <c r="H31" s="1080"/>
      <c r="I31" s="1076"/>
      <c r="J31" s="1076"/>
      <c r="K31" s="1063"/>
      <c r="L31" s="1014"/>
      <c r="M31" s="1064"/>
      <c r="N31" s="1014"/>
    </row>
    <row r="32" spans="1:15">
      <c r="A32" s="13"/>
      <c r="B32" s="10"/>
      <c r="C32" s="20"/>
      <c r="D32" s="9"/>
      <c r="E32" s="9"/>
      <c r="F32" s="9"/>
      <c r="G32" s="9"/>
      <c r="H32" s="9"/>
      <c r="I32" s="1076"/>
      <c r="J32" s="1076"/>
      <c r="K32" s="1063"/>
      <c r="L32" s="1014"/>
      <c r="M32" s="1014"/>
      <c r="N32" s="1014"/>
    </row>
    <row r="33" spans="1:14">
      <c r="A33" s="161"/>
      <c r="B33" s="162"/>
      <c r="C33" s="162"/>
      <c r="D33" s="162"/>
      <c r="E33" s="162"/>
      <c r="F33" s="162"/>
      <c r="G33" s="162"/>
      <c r="H33" s="162"/>
      <c r="I33" s="1076"/>
      <c r="J33" s="1076"/>
      <c r="K33" s="1063"/>
      <c r="L33" s="1014"/>
      <c r="M33" s="1014"/>
      <c r="N33" s="1014"/>
    </row>
    <row r="34" spans="1:14">
      <c r="A34" s="1014"/>
      <c r="B34" s="1014"/>
      <c r="C34" s="1014"/>
      <c r="D34" s="1014"/>
      <c r="E34" s="1014"/>
      <c r="F34" s="1030"/>
      <c r="G34" s="1030"/>
      <c r="H34" s="1014"/>
      <c r="I34" s="1067"/>
      <c r="J34" s="1029"/>
      <c r="K34" s="1069"/>
      <c r="L34" s="1014"/>
      <c r="M34" s="1014"/>
      <c r="N34" s="1014"/>
    </row>
    <row r="35" spans="1:14">
      <c r="A35" s="1014"/>
      <c r="B35" s="1014"/>
      <c r="C35" s="1014"/>
      <c r="D35" s="1014"/>
      <c r="E35" s="1014"/>
      <c r="F35" s="1030"/>
      <c r="G35" s="1030"/>
      <c r="H35" s="1014"/>
      <c r="I35" s="1067"/>
      <c r="J35" s="1029"/>
      <c r="K35" s="1069"/>
      <c r="L35" s="1014"/>
      <c r="M35" s="1014"/>
      <c r="N35" s="1014"/>
    </row>
    <row r="36" spans="1:14" ht="15.75">
      <c r="A36" s="168" t="s">
        <v>1436</v>
      </c>
      <c r="B36" s="169"/>
      <c r="C36" s="169"/>
      <c r="D36" s="169"/>
      <c r="E36" s="169"/>
      <c r="F36" s="169"/>
      <c r="G36" s="169"/>
      <c r="H36" s="1014"/>
      <c r="I36" s="1014"/>
      <c r="J36" s="1122" t="s">
        <v>1154</v>
      </c>
      <c r="K36" s="1029"/>
      <c r="L36" s="1014"/>
      <c r="M36" s="1014"/>
      <c r="N36" s="1014"/>
    </row>
    <row r="37" spans="1:14" ht="15.75">
      <c r="A37" s="13"/>
      <c r="B37" s="10" t="s">
        <v>1428</v>
      </c>
      <c r="C37" s="9"/>
      <c r="D37" s="9"/>
      <c r="E37" s="9"/>
      <c r="F37" s="9"/>
      <c r="G37" s="9"/>
      <c r="H37" s="1072"/>
      <c r="I37" s="1055"/>
      <c r="J37" s="1123" t="s">
        <v>1155</v>
      </c>
      <c r="K37" s="1055"/>
      <c r="L37" s="1014"/>
      <c r="M37" s="1072"/>
      <c r="N37" s="1014"/>
    </row>
    <row r="38" spans="1:14" ht="15.75">
      <c r="A38" s="13"/>
      <c r="B38" s="9" t="s">
        <v>1408</v>
      </c>
      <c r="C38" s="420">
        <v>0.53657882465020257</v>
      </c>
      <c r="D38" s="9" t="s">
        <v>1406</v>
      </c>
      <c r="E38" s="9"/>
      <c r="F38" s="420">
        <f>M40/J39/M39</f>
        <v>0.44424192212096109</v>
      </c>
      <c r="G38" s="9" t="s">
        <v>1406</v>
      </c>
      <c r="H38" s="1032"/>
      <c r="I38" s="1029"/>
      <c r="J38" s="1029"/>
      <c r="K38" s="1074"/>
      <c r="L38" s="1014"/>
      <c r="M38" s="1032"/>
      <c r="N38" s="1014"/>
    </row>
    <row r="39" spans="1:14" ht="15.75">
      <c r="A39" s="78"/>
      <c r="B39" s="79" t="s">
        <v>1198</v>
      </c>
      <c r="C39" s="419">
        <v>1.1399999999999999</v>
      </c>
      <c r="D39" s="1148" t="s">
        <v>52</v>
      </c>
      <c r="E39" s="79"/>
      <c r="F39" s="419">
        <v>0.52</v>
      </c>
      <c r="G39" s="79" t="s">
        <v>1404</v>
      </c>
      <c r="H39" s="1075"/>
      <c r="I39" s="1075"/>
      <c r="J39" s="1075">
        <v>3.55</v>
      </c>
      <c r="K39" s="1075" t="s">
        <v>1156</v>
      </c>
      <c r="L39" s="1014"/>
      <c r="M39" s="1075">
        <v>17</v>
      </c>
      <c r="N39" s="1014" t="s">
        <v>1160</v>
      </c>
    </row>
    <row r="40" spans="1:14">
      <c r="A40" s="1042"/>
      <c r="B40" s="1042"/>
      <c r="C40" s="1085"/>
      <c r="D40" s="1014"/>
      <c r="E40" s="1086"/>
      <c r="F40" s="1042"/>
      <c r="G40" s="1014"/>
      <c r="H40" s="1014"/>
      <c r="I40" s="1014"/>
      <c r="J40" s="1014">
        <v>1</v>
      </c>
      <c r="K40" s="1014" t="s">
        <v>1157</v>
      </c>
      <c r="L40" s="1014"/>
      <c r="M40" s="1014">
        <v>26.81</v>
      </c>
      <c r="N40" s="1014" t="s">
        <v>1159</v>
      </c>
    </row>
    <row r="41" spans="1:14">
      <c r="A41" s="1042"/>
      <c r="B41" s="1042"/>
      <c r="C41" s="1086"/>
      <c r="D41" s="1042"/>
      <c r="E41" s="1087"/>
      <c r="F41" s="1042"/>
      <c r="G41" s="1014"/>
      <c r="H41" s="1014"/>
      <c r="I41" s="1014"/>
      <c r="J41" s="1014">
        <v>0.52</v>
      </c>
      <c r="K41" s="1014" t="s">
        <v>1158</v>
      </c>
      <c r="L41" s="1014"/>
      <c r="M41" s="1014"/>
      <c r="N41" s="1014"/>
    </row>
    <row r="42" spans="1:14">
      <c r="A42" s="1014"/>
      <c r="B42" s="1058"/>
      <c r="C42" s="1087"/>
      <c r="D42" s="1014"/>
      <c r="E42" s="1055"/>
      <c r="F42" s="1014"/>
      <c r="G42" s="1014"/>
      <c r="H42" s="1014"/>
      <c r="I42" s="1014"/>
      <c r="J42" s="1014"/>
      <c r="K42" s="1014"/>
      <c r="L42" s="1014"/>
      <c r="M42" s="1014"/>
      <c r="N42" s="1014"/>
    </row>
    <row r="43" spans="1:14" ht="26.25">
      <c r="A43" s="1033" t="s">
        <v>1161</v>
      </c>
      <c r="B43" s="1014"/>
      <c r="C43" s="1055"/>
      <c r="D43" s="1014"/>
      <c r="E43" s="1014"/>
      <c r="F43" s="1014"/>
      <c r="G43" s="1014"/>
      <c r="H43" s="1076"/>
      <c r="I43" s="1076"/>
      <c r="J43" s="1076"/>
      <c r="K43" s="1077"/>
      <c r="L43" s="1014"/>
      <c r="M43" s="1076"/>
      <c r="N43" s="1014"/>
    </row>
    <row r="44" spans="1:14">
      <c r="A44" s="1014"/>
      <c r="B44" s="1014"/>
      <c r="C44" s="1014"/>
      <c r="D44" s="1014"/>
      <c r="E44" s="1014"/>
      <c r="F44" s="1014"/>
      <c r="G44" s="1014"/>
      <c r="H44" s="1076"/>
      <c r="I44" s="1076"/>
      <c r="J44" s="1076"/>
      <c r="K44" s="1088"/>
      <c r="L44" s="1014"/>
      <c r="M44" s="1057"/>
      <c r="N44" s="1014"/>
    </row>
    <row r="45" spans="1:14">
      <c r="A45" s="1014"/>
      <c r="B45" s="1089"/>
      <c r="C45" s="1042"/>
      <c r="D45" s="1042"/>
      <c r="E45" s="1014"/>
      <c r="F45" s="1014"/>
      <c r="G45" s="1014"/>
      <c r="H45" s="1090"/>
      <c r="I45" s="1014"/>
      <c r="J45" s="1014"/>
      <c r="K45" s="1091"/>
      <c r="L45" s="1014"/>
      <c r="M45" s="1057"/>
      <c r="N45" s="1014"/>
    </row>
    <row r="46" spans="1:14">
      <c r="A46" s="1014"/>
      <c r="B46" s="1092"/>
      <c r="C46" s="1086"/>
      <c r="D46" s="1042"/>
      <c r="E46" s="1014"/>
      <c r="F46" s="1014"/>
      <c r="G46" s="1014"/>
      <c r="H46" s="1076"/>
      <c r="I46" s="1076"/>
      <c r="J46" s="1076"/>
      <c r="K46" s="1077"/>
      <c r="L46" s="1014"/>
      <c r="M46" s="1076"/>
      <c r="N46" s="1014"/>
    </row>
    <row r="47" spans="1:14">
      <c r="A47" s="1014"/>
      <c r="B47" s="1093"/>
      <c r="C47" s="1094"/>
      <c r="D47" s="1014"/>
      <c r="E47" s="1014"/>
      <c r="F47" s="1014"/>
      <c r="G47" s="1014"/>
      <c r="H47" s="1076"/>
      <c r="I47" s="1082"/>
      <c r="J47" s="1082"/>
      <c r="K47" s="1077"/>
      <c r="L47" s="1014"/>
      <c r="M47" s="1057"/>
      <c r="N47" s="1014"/>
    </row>
    <row r="48" spans="1:14">
      <c r="A48" s="1014"/>
      <c r="B48" s="1093"/>
      <c r="C48" s="1086"/>
      <c r="D48" s="1014"/>
      <c r="E48" s="1014"/>
      <c r="F48" s="1014"/>
      <c r="G48" s="1014"/>
      <c r="H48" s="1076"/>
      <c r="I48" s="1076"/>
      <c r="J48" s="1076"/>
      <c r="K48" s="1077"/>
      <c r="L48" s="1014"/>
      <c r="M48" s="1076"/>
      <c r="N48" s="1014"/>
    </row>
    <row r="49" spans="1:14">
      <c r="A49" s="1014"/>
      <c r="B49" s="1093"/>
      <c r="C49" s="1094"/>
      <c r="D49" s="1014"/>
      <c r="E49" s="1014"/>
      <c r="F49" s="1014"/>
      <c r="G49" s="1014"/>
      <c r="H49" s="1076"/>
      <c r="I49" s="1082"/>
      <c r="J49" s="1082"/>
      <c r="K49" s="1077"/>
      <c r="L49" s="1014"/>
      <c r="M49" s="1076"/>
      <c r="N49" s="1014"/>
    </row>
    <row r="50" spans="1:14">
      <c r="A50" s="1014"/>
      <c r="B50" s="1093"/>
      <c r="C50" s="1086"/>
      <c r="D50" s="1014"/>
      <c r="E50" s="1014"/>
      <c r="F50" s="1014"/>
      <c r="G50" s="1014"/>
      <c r="H50" s="1076"/>
      <c r="I50" s="1076"/>
      <c r="J50" s="1076"/>
      <c r="K50" s="1077"/>
      <c r="L50" s="1014"/>
      <c r="M50" s="1076"/>
      <c r="N50" s="1014"/>
    </row>
    <row r="51" spans="1:14">
      <c r="A51" s="1014"/>
      <c r="B51" s="1014"/>
      <c r="C51" s="1083"/>
      <c r="D51" s="1083"/>
      <c r="E51" s="1014"/>
      <c r="F51" s="1014"/>
      <c r="G51" s="1014"/>
      <c r="H51" s="1076"/>
      <c r="I51" s="1076"/>
      <c r="J51" s="1076"/>
      <c r="K51" s="1077"/>
      <c r="L51" s="1014"/>
      <c r="M51" s="1076"/>
      <c r="N51" s="1014"/>
    </row>
    <row r="52" spans="1:14">
      <c r="A52" s="1014"/>
      <c r="B52" s="1058"/>
      <c r="C52" s="1083"/>
      <c r="D52" s="1014"/>
      <c r="E52" s="1014"/>
      <c r="F52" s="1014"/>
      <c r="G52" s="1014"/>
      <c r="H52" s="1076"/>
      <c r="I52" s="1076"/>
      <c r="J52" s="1076"/>
      <c r="K52" s="1077"/>
      <c r="L52" s="1014"/>
      <c r="M52" s="1076"/>
      <c r="N52" s="1014"/>
    </row>
    <row r="53" spans="1:14">
      <c r="A53" s="1014"/>
      <c r="B53" s="1014"/>
      <c r="C53" s="1085"/>
      <c r="D53" s="1014"/>
      <c r="E53" s="1014"/>
      <c r="F53" s="1014"/>
      <c r="G53" s="1014"/>
      <c r="H53" s="1076"/>
      <c r="I53" s="1076"/>
      <c r="J53" s="1076"/>
      <c r="K53" s="1077"/>
      <c r="L53" s="1014"/>
      <c r="M53" s="1076"/>
      <c r="N53" s="1014"/>
    </row>
    <row r="54" spans="1:14">
      <c r="A54" s="1014"/>
      <c r="B54" s="1014"/>
      <c r="C54" s="1042"/>
      <c r="D54" s="1042"/>
      <c r="E54" s="1086"/>
      <c r="F54" s="1014"/>
      <c r="G54" s="1029"/>
      <c r="H54" s="1064"/>
      <c r="I54" s="1064"/>
      <c r="J54" s="1064"/>
      <c r="K54" s="1063"/>
      <c r="L54" s="1014"/>
      <c r="M54" s="1064"/>
      <c r="N54" s="1014"/>
    </row>
    <row r="55" spans="1:14">
      <c r="A55" s="1014"/>
      <c r="B55" s="1095"/>
      <c r="C55" s="1042"/>
      <c r="D55" s="1042"/>
      <c r="E55" s="1014"/>
      <c r="F55" s="1014"/>
      <c r="G55" s="1014"/>
      <c r="H55" s="1014"/>
      <c r="I55" s="1014"/>
      <c r="J55" s="1014"/>
      <c r="K55" s="1014"/>
      <c r="L55" s="1014"/>
      <c r="M55" s="1014"/>
      <c r="N55" s="1014"/>
    </row>
    <row r="56" spans="1:14">
      <c r="A56" s="1014"/>
      <c r="B56" s="1014"/>
      <c r="C56" s="1014"/>
      <c r="D56" s="1014"/>
      <c r="E56" s="1014"/>
      <c r="F56" s="1030"/>
      <c r="G56" s="1030"/>
      <c r="H56" s="1014"/>
      <c r="I56" s="1067"/>
      <c r="J56" s="1029"/>
      <c r="K56" s="1069"/>
      <c r="L56" s="1014"/>
      <c r="M56" s="1014"/>
      <c r="N56" s="1014"/>
    </row>
    <row r="57" spans="1:14">
      <c r="A57" s="1014"/>
      <c r="B57" s="1014"/>
      <c r="C57" s="1014"/>
      <c r="D57" s="1014"/>
      <c r="E57" s="1014"/>
      <c r="F57" s="1030"/>
      <c r="G57" s="1030"/>
      <c r="H57" s="1014"/>
      <c r="I57" s="1067"/>
      <c r="J57" s="1029"/>
      <c r="K57" s="1040"/>
      <c r="L57" s="1014"/>
      <c r="M57" s="1014"/>
      <c r="N57" s="1014"/>
    </row>
    <row r="58" spans="1:14">
      <c r="A58" s="1014"/>
      <c r="B58" s="1014"/>
      <c r="C58" s="1014"/>
      <c r="D58" s="1014"/>
      <c r="E58" s="1014"/>
      <c r="F58" s="1030"/>
      <c r="G58" s="1030"/>
      <c r="H58" s="1014"/>
      <c r="I58" s="1067"/>
      <c r="J58" s="1029"/>
      <c r="K58" s="1040"/>
      <c r="L58" s="1014"/>
      <c r="M58" s="1014"/>
      <c r="N58" s="1014"/>
    </row>
    <row r="59" spans="1:14" ht="15.75">
      <c r="A59" s="1072"/>
      <c r="B59" s="1014"/>
      <c r="C59" s="1014"/>
      <c r="D59" s="1014"/>
      <c r="E59" s="1067"/>
      <c r="F59" s="1035"/>
      <c r="G59" s="1035"/>
      <c r="H59" s="1096"/>
      <c r="I59" s="1067"/>
      <c r="J59" s="1096"/>
      <c r="K59" s="1069"/>
      <c r="L59" s="1014"/>
      <c r="M59" s="1014"/>
      <c r="N59" s="1014"/>
    </row>
    <row r="60" spans="1:14" ht="15.75">
      <c r="A60" s="1072"/>
      <c r="B60" s="1014"/>
      <c r="C60" s="1014"/>
      <c r="D60" s="1014"/>
      <c r="E60" s="1035"/>
      <c r="F60" s="1035"/>
      <c r="G60" s="1035"/>
      <c r="H60" s="1035"/>
      <c r="I60" s="1035"/>
      <c r="J60" s="1035"/>
      <c r="K60" s="1035"/>
      <c r="L60" s="1014"/>
      <c r="M60" s="1072"/>
      <c r="N60" s="1014"/>
    </row>
    <row r="61" spans="1:14">
      <c r="A61" s="1014"/>
      <c r="B61" s="1014"/>
      <c r="C61" s="1014"/>
      <c r="D61" s="1074"/>
      <c r="E61" s="1074"/>
      <c r="F61" s="1074"/>
      <c r="G61" s="1074"/>
      <c r="H61" s="1064"/>
      <c r="I61" s="1014"/>
      <c r="J61" s="1014"/>
      <c r="K61" s="1014"/>
      <c r="L61" s="1014"/>
      <c r="M61" s="1032"/>
      <c r="N61" s="1014"/>
    </row>
    <row r="62" spans="1:14">
      <c r="A62" s="1014"/>
      <c r="B62" s="1014"/>
      <c r="C62" s="1014"/>
      <c r="D62" s="1014"/>
      <c r="E62" s="1074"/>
      <c r="F62" s="1097"/>
      <c r="G62" s="1014"/>
      <c r="H62" s="1076"/>
      <c r="I62" s="1014"/>
      <c r="J62" s="1014"/>
      <c r="K62" s="1014"/>
      <c r="L62" s="1014"/>
      <c r="M62" s="1075"/>
      <c r="N62" s="1014"/>
    </row>
    <row r="63" spans="1:14">
      <c r="A63" s="1014"/>
      <c r="B63" s="1014"/>
      <c r="C63" s="1014"/>
      <c r="D63" s="1014"/>
      <c r="E63" s="1074"/>
      <c r="F63" s="1097"/>
      <c r="G63" s="1014"/>
      <c r="H63" s="1076"/>
      <c r="I63" s="1014"/>
      <c r="J63" s="1014"/>
      <c r="K63" s="1014"/>
      <c r="L63" s="1014"/>
      <c r="M63" s="1014"/>
      <c r="N63" s="1014"/>
    </row>
    <row r="64" spans="1:14">
      <c r="A64" s="1014"/>
      <c r="B64" s="1014"/>
      <c r="C64" s="1014"/>
      <c r="D64" s="1014"/>
      <c r="E64" s="1014"/>
      <c r="F64" s="1097"/>
      <c r="G64" s="1014"/>
      <c r="H64" s="1014"/>
      <c r="I64" s="1014"/>
      <c r="J64" s="1014"/>
      <c r="K64" s="1014"/>
      <c r="L64" s="1014"/>
      <c r="M64" s="1014"/>
      <c r="N64" s="1014"/>
    </row>
    <row r="65" spans="1:14">
      <c r="A65" s="1014"/>
      <c r="B65" s="1014"/>
      <c r="C65" s="1014"/>
      <c r="D65" s="1014"/>
      <c r="E65" s="1067"/>
      <c r="F65" s="1030"/>
      <c r="G65" s="1035"/>
      <c r="H65" s="1014"/>
      <c r="I65" s="1067"/>
      <c r="J65" s="1035"/>
      <c r="K65" s="1069"/>
      <c r="L65" s="1014"/>
      <c r="M65" s="1064"/>
      <c r="N65" s="1014"/>
    </row>
    <row r="66" spans="1:14">
      <c r="A66" s="1014"/>
      <c r="B66" s="1014"/>
      <c r="C66" s="1014"/>
      <c r="D66" s="1014"/>
      <c r="E66" s="1014"/>
      <c r="F66" s="1029"/>
      <c r="G66" s="1040"/>
      <c r="H66" s="1032"/>
      <c r="I66" s="1014"/>
      <c r="J66" s="1014"/>
      <c r="K66" s="1098"/>
      <c r="L66" s="1014"/>
      <c r="M66" s="1014"/>
      <c r="N66" s="1014"/>
    </row>
    <row r="67" spans="1:14">
      <c r="A67" s="1014"/>
      <c r="B67" s="1014"/>
      <c r="C67" s="1014"/>
      <c r="D67" s="1014"/>
      <c r="E67" s="1014"/>
      <c r="F67" s="1029"/>
      <c r="G67" s="1040"/>
      <c r="H67" s="1032"/>
      <c r="I67" s="1014"/>
      <c r="J67" s="1014"/>
      <c r="K67" s="1098"/>
      <c r="L67" s="1014"/>
      <c r="M67" s="1014"/>
      <c r="N67" s="1014"/>
    </row>
    <row r="68" spans="1:14" ht="15.75">
      <c r="A68" s="1072"/>
      <c r="B68" s="1014"/>
      <c r="C68" s="1014"/>
      <c r="D68" s="1014"/>
      <c r="E68" s="1072"/>
      <c r="F68" s="1072"/>
      <c r="G68" s="1014"/>
      <c r="H68" s="1072"/>
      <c r="I68" s="1055"/>
      <c r="J68" s="1055"/>
      <c r="K68" s="1055"/>
      <c r="L68" s="1014"/>
      <c r="M68" s="1072"/>
      <c r="N68" s="1014"/>
    </row>
    <row r="69" spans="1:14">
      <c r="A69" s="1014"/>
      <c r="B69" s="1058"/>
      <c r="C69" s="1014"/>
      <c r="D69" s="1014"/>
      <c r="E69" s="1084"/>
      <c r="F69" s="1042"/>
      <c r="G69" s="1014"/>
      <c r="H69" s="1032"/>
      <c r="I69" s="1029"/>
      <c r="J69" s="1029"/>
      <c r="K69" s="1074"/>
      <c r="L69" s="1014"/>
      <c r="M69" s="1032"/>
      <c r="N69" s="1014"/>
    </row>
    <row r="70" spans="1:14">
      <c r="A70" s="1014"/>
      <c r="B70" s="1014"/>
      <c r="C70" s="1085"/>
      <c r="D70" s="1014"/>
      <c r="E70" s="1084"/>
      <c r="F70" s="1042"/>
      <c r="G70" s="1014"/>
      <c r="H70" s="1075"/>
      <c r="I70" s="1075"/>
      <c r="J70" s="1075"/>
      <c r="K70" s="1075"/>
      <c r="L70" s="1014"/>
      <c r="M70" s="1075"/>
      <c r="N70" s="1014"/>
    </row>
    <row r="71" spans="1:14">
      <c r="A71" s="1042"/>
      <c r="B71" s="1042"/>
      <c r="C71" s="1099"/>
      <c r="D71" s="1042"/>
      <c r="E71" s="1086"/>
      <c r="F71" s="1042"/>
      <c r="G71" s="1014"/>
      <c r="H71" s="1014"/>
      <c r="I71" s="1014"/>
      <c r="J71" s="1014"/>
      <c r="K71" s="1014"/>
      <c r="L71" s="1014"/>
      <c r="M71" s="1014"/>
      <c r="N71" s="1014"/>
    </row>
    <row r="72" spans="1:14">
      <c r="A72" s="1042"/>
      <c r="B72" s="1058"/>
      <c r="C72" s="1014"/>
      <c r="D72" s="1042"/>
      <c r="E72" s="1087"/>
      <c r="F72" s="1042"/>
      <c r="G72" s="1014"/>
      <c r="H72" s="1014"/>
      <c r="I72" s="1014"/>
      <c r="J72" s="1014"/>
      <c r="K72" s="1014"/>
      <c r="L72" s="1014"/>
      <c r="M72" s="1014"/>
      <c r="N72" s="1014"/>
    </row>
    <row r="73" spans="1:14">
      <c r="A73" s="1014"/>
      <c r="B73" s="1014"/>
      <c r="C73" s="1085"/>
      <c r="D73" s="1014"/>
      <c r="E73" s="1055"/>
      <c r="F73" s="1014"/>
      <c r="G73" s="1014"/>
      <c r="H73" s="1076"/>
      <c r="I73" s="1076"/>
      <c r="J73" s="1076"/>
      <c r="K73" s="1077"/>
      <c r="L73" s="1014"/>
      <c r="M73" s="1057"/>
      <c r="N73" s="1014"/>
    </row>
    <row r="74" spans="1:14">
      <c r="A74" s="1014"/>
      <c r="B74" s="1014"/>
      <c r="C74" s="1085"/>
      <c r="D74" s="1014"/>
      <c r="E74" s="1014"/>
      <c r="F74" s="1014"/>
      <c r="G74" s="1014"/>
      <c r="H74" s="1076"/>
      <c r="I74" s="1076"/>
      <c r="J74" s="1076"/>
      <c r="K74" s="1088"/>
      <c r="L74" s="1014"/>
      <c r="M74" s="1057"/>
      <c r="N74" s="1014"/>
    </row>
    <row r="75" spans="1:14">
      <c r="A75" s="1014"/>
      <c r="B75" s="1089"/>
      <c r="C75" s="1042"/>
      <c r="D75" s="1042"/>
      <c r="E75" s="1014"/>
      <c r="F75" s="1014"/>
      <c r="G75" s="1014"/>
      <c r="H75" s="1090"/>
      <c r="I75" s="1014"/>
      <c r="J75" s="1014"/>
      <c r="K75" s="1091"/>
      <c r="L75" s="1014"/>
      <c r="M75" s="1057"/>
      <c r="N75" s="1014"/>
    </row>
    <row r="76" spans="1:14">
      <c r="A76" s="1014"/>
      <c r="B76" s="1092"/>
      <c r="C76" s="1086"/>
      <c r="D76" s="1042"/>
      <c r="E76" s="1014"/>
      <c r="F76" s="1014"/>
      <c r="G76" s="1014"/>
      <c r="H76" s="1076"/>
      <c r="I76" s="1076"/>
      <c r="J76" s="1076"/>
      <c r="K76" s="1077"/>
      <c r="L76" s="1014"/>
      <c r="M76" s="1057"/>
      <c r="N76" s="1014"/>
    </row>
    <row r="77" spans="1:14">
      <c r="A77" s="1014"/>
      <c r="B77" s="1093"/>
      <c r="C77" s="1094"/>
      <c r="D77" s="1014"/>
      <c r="E77" s="1014"/>
      <c r="F77" s="1014"/>
      <c r="G77" s="1014"/>
      <c r="H77" s="1076"/>
      <c r="I77" s="1082"/>
      <c r="J77" s="1082"/>
      <c r="K77" s="1077"/>
      <c r="L77" s="1014"/>
      <c r="M77" s="1057"/>
      <c r="N77" s="1014"/>
    </row>
    <row r="78" spans="1:14">
      <c r="A78" s="1014"/>
      <c r="B78" s="1093"/>
      <c r="C78" s="1086"/>
      <c r="D78" s="1014"/>
      <c r="E78" s="1014"/>
      <c r="F78" s="1014"/>
      <c r="G78" s="1014"/>
      <c r="H78" s="1076"/>
      <c r="I78" s="1076"/>
      <c r="J78" s="1076"/>
      <c r="K78" s="1077"/>
      <c r="L78" s="1014"/>
      <c r="M78" s="1057"/>
      <c r="N78" s="1014"/>
    </row>
    <row r="79" spans="1:14">
      <c r="A79" s="1014"/>
      <c r="B79" s="1093"/>
      <c r="C79" s="1094"/>
      <c r="D79" s="1014"/>
      <c r="E79" s="1014"/>
      <c r="F79" s="1014"/>
      <c r="G79" s="1014"/>
      <c r="H79" s="1076"/>
      <c r="I79" s="1082"/>
      <c r="J79" s="1082"/>
      <c r="K79" s="1077"/>
      <c r="L79" s="1014"/>
      <c r="M79" s="1057"/>
      <c r="N79" s="1014"/>
    </row>
    <row r="80" spans="1:14">
      <c r="A80" s="1014"/>
      <c r="B80" s="1093"/>
      <c r="C80" s="1086"/>
      <c r="D80" s="1014"/>
      <c r="E80" s="1014"/>
      <c r="F80" s="1014"/>
      <c r="G80" s="1014"/>
      <c r="H80" s="1076"/>
      <c r="I80" s="1076"/>
      <c r="J80" s="1076"/>
      <c r="K80" s="1077"/>
      <c r="L80" s="1014"/>
      <c r="M80" s="1057"/>
      <c r="N80" s="1014"/>
    </row>
    <row r="81" spans="1:14">
      <c r="A81" s="1014"/>
      <c r="B81" s="1014"/>
      <c r="C81" s="1083"/>
      <c r="D81" s="1014"/>
      <c r="E81" s="1014"/>
      <c r="F81" s="1014"/>
      <c r="G81" s="1014"/>
      <c r="H81" s="1076"/>
      <c r="I81" s="1076"/>
      <c r="J81" s="1076"/>
      <c r="K81" s="1077"/>
      <c r="L81" s="1014"/>
      <c r="M81" s="1057"/>
      <c r="N81" s="1014"/>
    </row>
    <row r="82" spans="1:14">
      <c r="A82" s="1014"/>
      <c r="B82" s="1058"/>
      <c r="C82" s="1083"/>
      <c r="D82" s="1014"/>
      <c r="E82" s="1014"/>
      <c r="F82" s="1014"/>
      <c r="G82" s="1014"/>
      <c r="H82" s="1076"/>
      <c r="I82" s="1076"/>
      <c r="J82" s="1076"/>
      <c r="K82" s="1077"/>
      <c r="L82" s="1014"/>
      <c r="M82" s="1057"/>
      <c r="N82" s="1014"/>
    </row>
    <row r="83" spans="1:14">
      <c r="A83" s="1014"/>
      <c r="B83" s="1014"/>
      <c r="C83" s="1085"/>
      <c r="D83" s="1014"/>
      <c r="E83" s="1014"/>
      <c r="F83" s="1014"/>
      <c r="G83" s="1014"/>
      <c r="H83" s="1076"/>
      <c r="I83" s="1076"/>
      <c r="J83" s="1076"/>
      <c r="K83" s="1077"/>
      <c r="L83" s="1014"/>
      <c r="M83" s="1057"/>
      <c r="N83" s="1014"/>
    </row>
    <row r="84" spans="1:14">
      <c r="A84" s="1014"/>
      <c r="B84" s="1095"/>
      <c r="C84" s="1042"/>
      <c r="D84" s="1042"/>
      <c r="E84" s="1086"/>
      <c r="F84" s="1014"/>
      <c r="G84" s="1029"/>
      <c r="H84" s="1064"/>
      <c r="I84" s="1064"/>
      <c r="J84" s="1064"/>
      <c r="K84" s="1063"/>
      <c r="L84" s="1014"/>
      <c r="M84" s="1064"/>
      <c r="N84" s="1014"/>
    </row>
    <row r="85" spans="1:14">
      <c r="A85" s="1014"/>
      <c r="B85" s="1095"/>
      <c r="C85" s="1042"/>
      <c r="D85" s="1042"/>
      <c r="E85" s="1014"/>
      <c r="F85" s="1014"/>
      <c r="G85" s="1014"/>
      <c r="H85" s="1014"/>
      <c r="I85" s="1014"/>
      <c r="J85" s="1014"/>
      <c r="K85" s="1014"/>
      <c r="L85" s="1014"/>
      <c r="M85" s="1014"/>
      <c r="N85" s="1014"/>
    </row>
    <row r="86" spans="1:14">
      <c r="A86" s="1014"/>
      <c r="B86" s="1014"/>
      <c r="C86" s="1014"/>
      <c r="D86" s="1014"/>
      <c r="E86" s="1014"/>
      <c r="F86" s="1030"/>
      <c r="G86" s="1030"/>
      <c r="H86" s="1014"/>
      <c r="I86" s="1067"/>
      <c r="J86" s="1029"/>
      <c r="K86" s="1069"/>
      <c r="L86" s="1014"/>
      <c r="M86" s="1014"/>
      <c r="N86" s="1014"/>
    </row>
    <row r="87" spans="1:14">
      <c r="A87" s="1014"/>
      <c r="B87" s="1014"/>
      <c r="C87" s="1014"/>
      <c r="D87" s="1014"/>
      <c r="E87" s="1014"/>
      <c r="F87" s="1029"/>
      <c r="G87" s="1040"/>
      <c r="H87" s="1032"/>
      <c r="I87" s="1014"/>
      <c r="J87" s="1014"/>
      <c r="K87" s="1098"/>
      <c r="L87" s="1014"/>
      <c r="M87" s="1014"/>
      <c r="N87" s="1014"/>
    </row>
    <row r="88" spans="1:14">
      <c r="A88" s="1029"/>
      <c r="B88" s="1040"/>
      <c r="C88" s="1032"/>
      <c r="D88" s="1014"/>
      <c r="E88" s="1014"/>
      <c r="F88" s="1014"/>
      <c r="G88" s="1014"/>
      <c r="H88" s="1014"/>
      <c r="I88" s="1074"/>
      <c r="J88" s="1014"/>
      <c r="K88" s="1014"/>
      <c r="L88" s="1014"/>
      <c r="M88" s="1014"/>
      <c r="N88" s="1014"/>
    </row>
    <row r="89" spans="1:14" ht="15.75">
      <c r="A89" s="1072"/>
      <c r="B89" s="1072"/>
      <c r="C89" s="1014"/>
      <c r="D89" s="1014"/>
      <c r="E89" s="1072"/>
      <c r="F89" s="1072"/>
      <c r="G89" s="1014"/>
      <c r="H89" s="1072"/>
      <c r="I89" s="1055"/>
      <c r="J89" s="1055"/>
      <c r="K89" s="1055"/>
      <c r="L89" s="1014"/>
      <c r="M89" s="1072"/>
      <c r="N89" s="1014"/>
    </row>
    <row r="90" spans="1:14">
      <c r="A90" s="1014"/>
      <c r="B90" s="1058"/>
      <c r="C90" s="1094"/>
      <c r="D90" s="1014"/>
      <c r="E90" s="1055"/>
      <c r="F90" s="1042"/>
      <c r="G90" s="1091"/>
      <c r="H90" s="1032"/>
      <c r="I90" s="1029"/>
      <c r="J90" s="1029"/>
      <c r="K90" s="1074"/>
      <c r="L90" s="1014"/>
      <c r="M90" s="1032"/>
      <c r="N90" s="1014"/>
    </row>
    <row r="91" spans="1:14">
      <c r="A91" s="1014"/>
      <c r="B91" s="1014"/>
      <c r="C91" s="1083"/>
      <c r="D91" s="1014"/>
      <c r="E91" s="1086"/>
      <c r="F91" s="1042"/>
      <c r="G91" s="1091"/>
      <c r="H91" s="1075"/>
      <c r="I91" s="1075"/>
      <c r="J91" s="1075"/>
      <c r="K91" s="1075"/>
      <c r="L91" s="1014"/>
      <c r="M91" s="1075"/>
      <c r="N91" s="1014"/>
    </row>
    <row r="92" spans="1:14">
      <c r="A92" s="1014"/>
      <c r="B92" s="1058"/>
      <c r="C92" s="1083"/>
      <c r="D92" s="1014"/>
      <c r="E92" s="1055"/>
      <c r="F92" s="1014"/>
      <c r="G92" s="1014"/>
      <c r="H92" s="1014"/>
      <c r="I92" s="1014"/>
      <c r="J92" s="1014"/>
      <c r="K92" s="1014"/>
      <c r="L92" s="1014"/>
      <c r="M92" s="1014"/>
      <c r="N92" s="1014"/>
    </row>
    <row r="93" spans="1:14">
      <c r="A93" s="1014"/>
      <c r="B93" s="1014"/>
      <c r="C93" s="1100"/>
      <c r="D93" s="1014"/>
      <c r="E93" s="1082"/>
      <c r="F93" s="1014"/>
      <c r="G93" s="1014"/>
      <c r="H93" s="1076"/>
      <c r="I93" s="1076"/>
      <c r="J93" s="1076"/>
      <c r="K93" s="1063"/>
      <c r="L93" s="1014"/>
      <c r="M93" s="1057"/>
      <c r="N93" s="1014"/>
    </row>
    <row r="94" spans="1:14">
      <c r="A94" s="1014"/>
      <c r="B94" s="1074"/>
      <c r="C94" s="1081"/>
      <c r="D94" s="1014"/>
      <c r="E94" s="1014"/>
      <c r="F94" s="1014"/>
      <c r="G94" s="1014"/>
      <c r="H94" s="1076"/>
      <c r="I94" s="1076"/>
      <c r="J94" s="1076"/>
      <c r="K94" s="1063"/>
      <c r="L94" s="1014"/>
      <c r="M94" s="1057"/>
      <c r="N94" s="1014"/>
    </row>
    <row r="95" spans="1:14">
      <c r="A95" s="1014"/>
      <c r="B95" s="1014"/>
      <c r="C95" s="1100"/>
      <c r="D95" s="1014"/>
      <c r="E95" s="1082"/>
      <c r="F95" s="1014"/>
      <c r="G95" s="1014"/>
      <c r="H95" s="1076"/>
      <c r="I95" s="1076"/>
      <c r="J95" s="1076"/>
      <c r="K95" s="1063"/>
      <c r="L95" s="1014"/>
      <c r="M95" s="1057"/>
      <c r="N95" s="1014"/>
    </row>
    <row r="96" spans="1:14">
      <c r="A96" s="1014"/>
      <c r="B96" s="1058"/>
      <c r="C96" s="1083"/>
      <c r="D96" s="1014"/>
      <c r="E96" s="1014"/>
      <c r="F96" s="1014"/>
      <c r="G96" s="1014"/>
      <c r="H96" s="1076"/>
      <c r="I96" s="1076"/>
      <c r="J96" s="1076"/>
      <c r="K96" s="1076"/>
      <c r="L96" s="1014"/>
      <c r="M96" s="1057"/>
      <c r="N96" s="1014"/>
    </row>
    <row r="97" spans="1:14">
      <c r="A97" s="1029"/>
      <c r="B97" s="1014"/>
      <c r="C97" s="1100"/>
      <c r="D97" s="1014"/>
      <c r="E97" s="1014"/>
      <c r="F97" s="1014"/>
      <c r="G97" s="1014"/>
      <c r="H97" s="1076"/>
      <c r="I97" s="1076"/>
      <c r="J97" s="1076"/>
      <c r="K97" s="1063"/>
      <c r="L97" s="1014"/>
      <c r="M97" s="1057"/>
      <c r="N97" s="1014"/>
    </row>
    <row r="98" spans="1:14">
      <c r="A98" s="1014"/>
      <c r="B98" s="1014"/>
      <c r="C98" s="1014"/>
      <c r="D98" s="1014"/>
      <c r="E98" s="1014"/>
      <c r="F98" s="1030"/>
      <c r="G98" s="1030"/>
      <c r="H98" s="1014"/>
      <c r="I98" s="1067"/>
      <c r="J98" s="1029"/>
      <c r="K98" s="1069"/>
      <c r="L98" s="1014"/>
      <c r="M98" s="1064"/>
      <c r="N98" s="1014"/>
    </row>
    <row r="99" spans="1:14">
      <c r="A99" s="1014"/>
      <c r="B99" s="1014"/>
      <c r="C99" s="1014"/>
      <c r="D99" s="1014"/>
      <c r="E99" s="1014"/>
      <c r="F99" s="1030"/>
      <c r="G99" s="1030"/>
      <c r="H99" s="1014"/>
      <c r="I99" s="1067"/>
      <c r="J99" s="1029"/>
      <c r="K99" s="1069"/>
      <c r="L99" s="1014"/>
      <c r="M99" s="1014"/>
      <c r="N99" s="1014"/>
    </row>
    <row r="100" spans="1:14">
      <c r="A100" s="1014"/>
      <c r="B100" s="1014"/>
      <c r="C100" s="1014"/>
      <c r="D100" s="1014"/>
      <c r="E100" s="1014"/>
      <c r="F100" s="1030"/>
      <c r="G100" s="1030"/>
      <c r="H100" s="1014"/>
      <c r="I100" s="1067"/>
      <c r="J100" s="1029"/>
      <c r="K100" s="1069"/>
      <c r="L100" s="1014"/>
      <c r="M100" s="1014"/>
      <c r="N100" s="1014"/>
    </row>
    <row r="101" spans="1:14" ht="15.75">
      <c r="A101" s="1072"/>
      <c r="B101" s="1014"/>
      <c r="C101" s="1014"/>
      <c r="D101" s="1014"/>
      <c r="E101" s="1072"/>
      <c r="F101" s="1014"/>
      <c r="G101" s="1014"/>
      <c r="H101" s="1014"/>
      <c r="I101" s="1014"/>
      <c r="J101" s="1014"/>
      <c r="K101" s="1014"/>
      <c r="L101" s="1014"/>
      <c r="M101" s="1072"/>
      <c r="N101" s="1014"/>
    </row>
    <row r="102" spans="1:14">
      <c r="A102" s="1014"/>
      <c r="B102" s="1058"/>
      <c r="C102" s="1094"/>
      <c r="D102" s="1014"/>
      <c r="E102" s="1055"/>
      <c r="F102" s="1042"/>
      <c r="G102" s="1014"/>
      <c r="H102" s="1032"/>
      <c r="I102" s="1029"/>
      <c r="J102" s="1029"/>
      <c r="K102" s="1074"/>
      <c r="L102" s="1014"/>
      <c r="M102" s="1032"/>
      <c r="N102" s="1014"/>
    </row>
    <row r="103" spans="1:14">
      <c r="A103" s="1014"/>
      <c r="B103" s="1014"/>
      <c r="C103" s="1083"/>
      <c r="D103" s="1014"/>
      <c r="E103" s="1086"/>
      <c r="F103" s="1042"/>
      <c r="G103" s="1014"/>
      <c r="H103" s="1075"/>
      <c r="I103" s="1075"/>
      <c r="J103" s="1075"/>
      <c r="K103" s="1075"/>
      <c r="L103" s="1014"/>
      <c r="M103" s="1075"/>
      <c r="N103" s="1014"/>
    </row>
    <row r="104" spans="1:14">
      <c r="A104" s="1014"/>
      <c r="B104" s="1058"/>
      <c r="C104" s="1083"/>
      <c r="D104" s="1014"/>
      <c r="E104" s="1014"/>
      <c r="F104" s="1014"/>
      <c r="G104" s="1014"/>
      <c r="H104" s="1076"/>
      <c r="I104" s="1076"/>
      <c r="J104" s="1076"/>
      <c r="K104" s="1076"/>
      <c r="L104" s="1014"/>
      <c r="M104" s="1014"/>
      <c r="N104" s="1014"/>
    </row>
    <row r="105" spans="1:14">
      <c r="A105" s="1014"/>
      <c r="B105" s="1014"/>
      <c r="C105" s="1100"/>
      <c r="D105" s="1014"/>
      <c r="E105" s="1014"/>
      <c r="F105" s="1014"/>
      <c r="G105" s="1014"/>
      <c r="H105" s="1076"/>
      <c r="I105" s="1076"/>
      <c r="J105" s="1076"/>
      <c r="K105" s="1063"/>
      <c r="L105" s="1014"/>
      <c r="M105" s="1064"/>
      <c r="N105" s="1014"/>
    </row>
    <row r="106" spans="1:14">
      <c r="A106" s="1014"/>
      <c r="B106" s="1014"/>
      <c r="C106" s="1083"/>
      <c r="D106" s="1014"/>
      <c r="E106" s="1014"/>
      <c r="F106" s="1030"/>
      <c r="G106" s="1030"/>
      <c r="H106" s="1014"/>
      <c r="I106" s="1067"/>
      <c r="J106" s="1029"/>
      <c r="K106" s="1069"/>
      <c r="L106" s="1014"/>
      <c r="M106" s="1014"/>
      <c r="N106" s="1014"/>
    </row>
    <row r="107" spans="1:14">
      <c r="A107" s="1014"/>
      <c r="B107" s="1014"/>
      <c r="C107" s="1014"/>
      <c r="D107" s="1014"/>
      <c r="E107" s="1014"/>
      <c r="F107" s="1030"/>
      <c r="G107" s="1030"/>
      <c r="H107" s="1014"/>
      <c r="I107" s="1067"/>
      <c r="J107" s="1029"/>
      <c r="K107" s="1063"/>
      <c r="L107" s="1014"/>
      <c r="M107" s="1014"/>
      <c r="N107" s="1014"/>
    </row>
    <row r="108" spans="1:14">
      <c r="A108" s="1014"/>
      <c r="B108" s="1014"/>
      <c r="C108" s="1014"/>
      <c r="D108" s="1014"/>
      <c r="E108" s="1014"/>
      <c r="F108" s="1030"/>
      <c r="G108" s="1030"/>
      <c r="H108" s="1014"/>
      <c r="I108" s="1067"/>
      <c r="J108" s="1029"/>
      <c r="K108" s="1063"/>
      <c r="L108" s="1014"/>
      <c r="M108" s="1014"/>
      <c r="N108" s="1014"/>
    </row>
    <row r="109" spans="1:14" ht="15.75">
      <c r="A109" s="1072"/>
      <c r="B109" s="1040"/>
      <c r="C109" s="1032"/>
      <c r="D109" s="1014"/>
      <c r="E109" s="1014"/>
      <c r="F109" s="1014"/>
      <c r="G109" s="1014"/>
      <c r="H109" s="1014"/>
      <c r="I109" s="1014"/>
      <c r="J109" s="1014"/>
      <c r="K109" s="1029"/>
      <c r="L109" s="1014"/>
      <c r="M109" s="1014"/>
      <c r="N109" s="1014"/>
    </row>
    <row r="110" spans="1:14" ht="15.75">
      <c r="A110" s="1072"/>
      <c r="B110" s="1068"/>
      <c r="C110" s="1058"/>
      <c r="D110" s="1014"/>
      <c r="E110" s="1014"/>
      <c r="F110" s="1014"/>
      <c r="G110" s="1014"/>
      <c r="H110" s="1014"/>
      <c r="I110" s="1014"/>
      <c r="J110" s="1014"/>
      <c r="K110" s="1074"/>
      <c r="L110" s="1014"/>
      <c r="M110" s="1014"/>
      <c r="N110" s="1014"/>
    </row>
    <row r="111" spans="1:14" ht="15.75">
      <c r="A111" s="1072"/>
      <c r="B111" s="1058"/>
      <c r="C111" s="1101"/>
      <c r="D111" s="1102"/>
      <c r="E111" s="1103"/>
      <c r="F111" s="3267"/>
      <c r="G111" s="3267"/>
      <c r="H111" s="3267"/>
      <c r="I111" s="3267"/>
      <c r="J111" s="3267"/>
      <c r="K111" s="3267"/>
      <c r="L111" s="1014"/>
      <c r="M111" s="1014"/>
      <c r="N111" s="1014"/>
    </row>
    <row r="112" spans="1:14" ht="15.75">
      <c r="A112" s="1072"/>
      <c r="B112" s="1075"/>
      <c r="C112" s="1101"/>
      <c r="D112" s="1102"/>
      <c r="E112" s="1055"/>
      <c r="F112" s="3267"/>
      <c r="G112" s="3267"/>
      <c r="H112" s="3267"/>
      <c r="I112" s="3267"/>
      <c r="J112" s="3267"/>
      <c r="K112" s="3267"/>
      <c r="L112" s="1014"/>
      <c r="M112" s="1014"/>
      <c r="N112" s="1014"/>
    </row>
    <row r="113" spans="1:14" ht="15.75">
      <c r="A113" s="1072"/>
      <c r="B113" s="1058"/>
      <c r="C113" s="1104"/>
      <c r="D113" s="1014"/>
      <c r="E113" s="1103"/>
      <c r="F113" s="3268"/>
      <c r="G113" s="3268"/>
      <c r="H113" s="3268"/>
      <c r="I113" s="3268"/>
      <c r="J113" s="3268"/>
      <c r="K113" s="3268"/>
      <c r="L113" s="1014"/>
      <c r="M113" s="1014"/>
      <c r="N113" s="1014"/>
    </row>
    <row r="114" spans="1:14" ht="15.75">
      <c r="A114" s="1072"/>
      <c r="B114" s="1040"/>
      <c r="C114" s="1106"/>
      <c r="D114" s="1014"/>
      <c r="E114" s="1107"/>
      <c r="F114" s="3268"/>
      <c r="G114" s="3268"/>
      <c r="H114" s="3268"/>
      <c r="I114" s="3268"/>
      <c r="J114" s="3268"/>
      <c r="K114" s="3268"/>
      <c r="L114" s="1014"/>
      <c r="M114" s="1014"/>
      <c r="N114" s="1014"/>
    </row>
    <row r="115" spans="1:14" ht="15.75">
      <c r="A115" s="1072"/>
      <c r="B115" s="1040"/>
      <c r="C115" s="1104"/>
      <c r="D115" s="1014"/>
      <c r="E115" s="1107"/>
      <c r="F115" s="1105"/>
      <c r="G115" s="1105"/>
      <c r="H115" s="1032"/>
      <c r="I115" s="1029"/>
      <c r="J115" s="1105"/>
      <c r="K115" s="1105"/>
      <c r="L115" s="1014"/>
      <c r="M115" s="1014"/>
      <c r="N115" s="1014"/>
    </row>
    <row r="116" spans="1:14" ht="15.75">
      <c r="A116" s="1072"/>
      <c r="B116" s="1040"/>
      <c r="C116" s="1104"/>
      <c r="D116" s="1014"/>
      <c r="E116" s="1107"/>
      <c r="F116" s="1105"/>
      <c r="G116" s="1105"/>
      <c r="H116" s="1075"/>
      <c r="I116" s="1075"/>
      <c r="J116" s="1075"/>
      <c r="K116" s="1075"/>
      <c r="L116" s="1014"/>
      <c r="M116" s="1014"/>
      <c r="N116" s="1014"/>
    </row>
    <row r="117" spans="1:14" ht="15.75">
      <c r="A117" s="1072"/>
      <c r="B117" s="1077"/>
      <c r="C117" s="1063"/>
      <c r="D117" s="1054"/>
      <c r="E117" s="1014"/>
      <c r="F117" s="1014"/>
      <c r="G117" s="1014"/>
      <c r="H117" s="1076"/>
      <c r="I117" s="1076"/>
      <c r="J117" s="1076"/>
      <c r="K117" s="1077"/>
      <c r="L117" s="1014"/>
      <c r="M117" s="1014"/>
      <c r="N117" s="1014"/>
    </row>
    <row r="118" spans="1:14" ht="15.75">
      <c r="A118" s="1072"/>
      <c r="B118" s="1040"/>
      <c r="C118" s="1032"/>
      <c r="D118" s="1014"/>
      <c r="E118" s="1014"/>
      <c r="F118" s="1014"/>
      <c r="G118" s="1014"/>
      <c r="H118" s="1076"/>
      <c r="I118" s="1076"/>
      <c r="J118" s="1076"/>
      <c r="K118" s="1063"/>
      <c r="L118" s="1014"/>
      <c r="M118" s="1014"/>
      <c r="N118" s="1014"/>
    </row>
    <row r="119" spans="1:14">
      <c r="A119" s="1014"/>
      <c r="B119" s="1075"/>
      <c r="C119" s="1100"/>
      <c r="D119" s="1052"/>
      <c r="E119" s="1014"/>
      <c r="F119" s="1014"/>
      <c r="G119" s="1014"/>
      <c r="H119" s="1076"/>
      <c r="I119" s="1076"/>
      <c r="J119" s="1076"/>
      <c r="K119" s="1077"/>
      <c r="L119" s="1014"/>
      <c r="M119" s="1014"/>
      <c r="N119" s="1014"/>
    </row>
    <row r="120" spans="1:14">
      <c r="A120" s="1014"/>
      <c r="B120" s="1075"/>
      <c r="C120" s="1075"/>
      <c r="D120" s="1052"/>
      <c r="E120" s="1014"/>
      <c r="F120" s="1014"/>
      <c r="G120" s="1014"/>
      <c r="H120" s="1014"/>
      <c r="I120" s="1014"/>
      <c r="J120" s="1076"/>
      <c r="K120" s="1063"/>
      <c r="L120" s="1014"/>
      <c r="M120" s="1014"/>
      <c r="N120" s="1014"/>
    </row>
    <row r="121" spans="1:14" ht="15.75">
      <c r="A121" s="1072"/>
      <c r="B121" s="1040"/>
      <c r="C121" s="1032"/>
      <c r="D121" s="1014"/>
      <c r="E121" s="1014"/>
      <c r="F121" s="1014"/>
      <c r="G121" s="1014"/>
      <c r="H121" s="1032"/>
      <c r="I121" s="1029"/>
      <c r="J121" s="1029"/>
      <c r="K121" s="1074"/>
      <c r="L121" s="1014"/>
      <c r="M121" s="1014"/>
      <c r="N121" s="1014"/>
    </row>
    <row r="122" spans="1:14">
      <c r="A122" s="1014"/>
      <c r="B122" s="1014"/>
      <c r="C122" s="1083"/>
      <c r="D122" s="1014"/>
      <c r="E122" s="1014"/>
      <c r="F122" s="1030"/>
      <c r="G122" s="1030"/>
      <c r="H122" s="1014"/>
      <c r="I122" s="1067"/>
      <c r="J122" s="1029"/>
      <c r="K122" s="1069"/>
      <c r="L122" s="1014"/>
      <c r="M122" s="1014"/>
      <c r="N122" s="1014"/>
    </row>
    <row r="123" spans="1:14">
      <c r="A123" s="1014"/>
      <c r="B123" s="1014"/>
      <c r="C123" s="1083"/>
      <c r="D123" s="1014"/>
      <c r="E123" s="1014"/>
      <c r="F123" s="1030"/>
      <c r="G123" s="1030"/>
      <c r="H123" s="1014"/>
      <c r="I123" s="1067"/>
      <c r="J123" s="1029"/>
      <c r="K123" s="1037"/>
      <c r="L123" s="1014"/>
      <c r="M123" s="1014"/>
      <c r="N123" s="1014"/>
    </row>
    <row r="124" spans="1:14">
      <c r="A124" s="1014"/>
      <c r="B124" s="1014"/>
      <c r="C124" s="1083"/>
      <c r="D124" s="1014"/>
      <c r="E124" s="1014"/>
      <c r="F124" s="1030"/>
      <c r="G124" s="1030"/>
      <c r="H124" s="1014"/>
      <c r="I124" s="1067"/>
      <c r="J124" s="1029"/>
      <c r="K124" s="1037"/>
      <c r="L124" s="1014"/>
      <c r="M124" s="1014"/>
      <c r="N124" s="1014"/>
    </row>
    <row r="125" spans="1:14" ht="15.75">
      <c r="A125" s="1072"/>
      <c r="B125" s="1040"/>
      <c r="C125" s="1108"/>
      <c r="D125" s="1014"/>
      <c r="E125" s="1014"/>
      <c r="F125" s="1014"/>
      <c r="G125" s="1014"/>
      <c r="H125" s="1014"/>
      <c r="I125" s="1014"/>
      <c r="J125" s="1014"/>
      <c r="K125" s="1029"/>
      <c r="L125" s="1014"/>
      <c r="M125" s="1014"/>
      <c r="N125" s="1014"/>
    </row>
    <row r="126" spans="1:14" ht="15.75">
      <c r="A126" s="1072"/>
      <c r="B126" s="1040"/>
      <c r="C126" s="1108"/>
      <c r="D126" s="1014"/>
      <c r="E126" s="1014"/>
      <c r="F126" s="1014"/>
      <c r="G126" s="1014"/>
      <c r="H126" s="1032"/>
      <c r="I126" s="1029"/>
      <c r="J126" s="1029"/>
      <c r="K126" s="1074"/>
      <c r="L126" s="1014"/>
      <c r="M126" s="1014"/>
      <c r="N126" s="1014"/>
    </row>
    <row r="127" spans="1:14">
      <c r="A127" s="1014"/>
      <c r="B127" s="1075"/>
      <c r="C127" s="1100"/>
      <c r="D127" s="1052"/>
      <c r="E127" s="1042"/>
      <c r="F127" s="1014"/>
      <c r="G127" s="1014"/>
      <c r="H127" s="1014"/>
      <c r="I127" s="1014"/>
      <c r="J127" s="1076"/>
      <c r="K127" s="1063"/>
      <c r="L127" s="1014"/>
      <c r="M127" s="1014"/>
      <c r="N127" s="1014"/>
    </row>
    <row r="128" spans="1:14">
      <c r="A128" s="1014"/>
      <c r="B128" s="1014"/>
      <c r="C128" s="1014"/>
      <c r="D128" s="1014"/>
      <c r="E128" s="1014"/>
      <c r="F128" s="1030"/>
      <c r="G128" s="1030"/>
      <c r="H128" s="1014"/>
      <c r="I128" s="1067"/>
      <c r="J128" s="1029"/>
      <c r="K128" s="1069"/>
      <c r="L128" s="1014"/>
      <c r="M128" s="1014"/>
      <c r="N128" s="1014"/>
    </row>
    <row r="129" spans="1:14">
      <c r="A129" s="1014"/>
      <c r="B129" s="1014"/>
      <c r="C129" s="1014"/>
      <c r="D129" s="1014"/>
      <c r="E129" s="1014"/>
      <c r="F129" s="1030"/>
      <c r="G129" s="1030"/>
      <c r="H129" s="1014"/>
      <c r="I129" s="1067"/>
      <c r="J129" s="1029"/>
      <c r="K129" s="1037"/>
      <c r="L129" s="1014"/>
      <c r="M129" s="1014"/>
      <c r="N129" s="1014"/>
    </row>
    <row r="130" spans="1:14">
      <c r="A130" s="1014"/>
      <c r="B130" s="1014"/>
      <c r="C130" s="1014"/>
      <c r="D130" s="1014"/>
      <c r="E130" s="1014"/>
      <c r="F130" s="1030"/>
      <c r="G130" s="1030"/>
      <c r="H130" s="1014"/>
      <c r="I130" s="1067"/>
      <c r="J130" s="1029"/>
      <c r="K130" s="1037"/>
      <c r="L130" s="1014"/>
      <c r="M130" s="1014"/>
      <c r="N130" s="1014"/>
    </row>
    <row r="131" spans="1:14" ht="15.75">
      <c r="A131" s="1072"/>
      <c r="B131" s="1040"/>
      <c r="C131" s="1032"/>
      <c r="D131" s="1014"/>
      <c r="E131" s="1014"/>
      <c r="F131" s="1014"/>
      <c r="G131" s="1014"/>
      <c r="H131" s="1014"/>
      <c r="I131" s="1014"/>
      <c r="J131" s="1014"/>
      <c r="K131" s="1029"/>
      <c r="L131" s="1014"/>
      <c r="M131" s="1014"/>
      <c r="N131" s="1014"/>
    </row>
    <row r="132" spans="1:14" ht="15.75">
      <c r="A132" s="1072"/>
      <c r="B132" s="1040"/>
      <c r="C132" s="1032"/>
      <c r="D132" s="1014"/>
      <c r="E132" s="1014"/>
      <c r="F132" s="1014"/>
      <c r="G132" s="1014"/>
      <c r="H132" s="1032"/>
      <c r="I132" s="1029"/>
      <c r="J132" s="1029"/>
      <c r="K132" s="1074"/>
      <c r="L132" s="1014"/>
      <c r="M132" s="1014"/>
      <c r="N132" s="1014"/>
    </row>
    <row r="133" spans="1:14">
      <c r="A133" s="1014"/>
      <c r="B133" s="1075"/>
      <c r="C133" s="1100"/>
      <c r="D133" s="1052"/>
      <c r="E133" s="1014"/>
      <c r="F133" s="1014"/>
      <c r="G133" s="1014"/>
      <c r="H133" s="1014"/>
      <c r="I133" s="1014"/>
      <c r="J133" s="1076"/>
      <c r="K133" s="1063"/>
      <c r="L133" s="1014"/>
      <c r="M133" s="1014"/>
      <c r="N133" s="1014"/>
    </row>
    <row r="134" spans="1:14">
      <c r="A134" s="1014"/>
      <c r="B134" s="1014"/>
      <c r="C134" s="1014"/>
      <c r="D134" s="1014"/>
      <c r="E134" s="1014"/>
      <c r="F134" s="1030"/>
      <c r="G134" s="1030"/>
      <c r="H134" s="1014"/>
      <c r="I134" s="1067"/>
      <c r="J134" s="1029"/>
      <c r="K134" s="1069"/>
      <c r="L134" s="1014"/>
      <c r="M134" s="1014"/>
      <c r="N134" s="1014"/>
    </row>
    <row r="135" spans="1:14">
      <c r="A135" s="1014"/>
      <c r="B135" s="1014"/>
      <c r="C135" s="1014"/>
      <c r="D135" s="1014"/>
      <c r="E135" s="1014"/>
      <c r="F135" s="1030"/>
      <c r="G135" s="1030"/>
      <c r="H135" s="1014"/>
      <c r="I135" s="1067"/>
      <c r="J135" s="1029"/>
      <c r="K135" s="1037"/>
      <c r="L135" s="1014"/>
      <c r="M135" s="1014"/>
      <c r="N135" s="1014"/>
    </row>
    <row r="136" spans="1:14">
      <c r="A136" s="1014"/>
      <c r="B136" s="1014"/>
      <c r="C136" s="1014"/>
      <c r="D136" s="1014"/>
      <c r="E136" s="1014"/>
      <c r="F136" s="1030"/>
      <c r="G136" s="1030"/>
      <c r="H136" s="1014"/>
      <c r="I136" s="1067"/>
      <c r="J136" s="1029"/>
      <c r="K136" s="1037"/>
      <c r="L136" s="1014"/>
      <c r="M136" s="1014"/>
      <c r="N136" s="1014"/>
    </row>
    <row r="137" spans="1:14" ht="15.75">
      <c r="A137" s="1072"/>
      <c r="B137" s="1040"/>
      <c r="C137" s="1032"/>
      <c r="D137" s="1014"/>
      <c r="E137" s="1014"/>
      <c r="F137" s="1014"/>
      <c r="G137" s="1014"/>
      <c r="H137" s="1014"/>
      <c r="I137" s="1014"/>
      <c r="J137" s="1014"/>
      <c r="K137" s="1029"/>
      <c r="L137" s="1014"/>
      <c r="M137" s="1014"/>
      <c r="N137" s="1014"/>
    </row>
    <row r="138" spans="1:14" ht="15.75">
      <c r="A138" s="1072"/>
      <c r="B138" s="1040"/>
      <c r="C138" s="1032"/>
      <c r="D138" s="1014"/>
      <c r="E138" s="1014"/>
      <c r="F138" s="1014"/>
      <c r="G138" s="1014"/>
      <c r="H138" s="1032"/>
      <c r="I138" s="1029"/>
      <c r="J138" s="1029"/>
      <c r="K138" s="1074"/>
      <c r="L138" s="1014"/>
      <c r="M138" s="1014"/>
      <c r="N138" s="1014"/>
    </row>
    <row r="139" spans="1:14">
      <c r="A139" s="1014"/>
      <c r="B139" s="1075"/>
      <c r="C139" s="1100"/>
      <c r="D139" s="1052"/>
      <c r="E139" s="1014"/>
      <c r="F139" s="1014"/>
      <c r="G139" s="1014"/>
      <c r="H139" s="1014"/>
      <c r="I139" s="1014"/>
      <c r="J139" s="1076"/>
      <c r="K139" s="1063"/>
      <c r="L139" s="1014"/>
      <c r="M139" s="1014"/>
      <c r="N139" s="1014"/>
    </row>
    <row r="140" spans="1:14">
      <c r="A140" s="1014"/>
      <c r="B140" s="1014"/>
      <c r="C140" s="1014"/>
      <c r="D140" s="1014"/>
      <c r="E140" s="1014"/>
      <c r="F140" s="1030"/>
      <c r="G140" s="1030"/>
      <c r="H140" s="1014"/>
      <c r="I140" s="1067"/>
      <c r="J140" s="1029"/>
      <c r="K140" s="1069"/>
      <c r="L140" s="1014"/>
      <c r="M140" s="1014"/>
      <c r="N140" s="1014"/>
    </row>
    <row r="141" spans="1:14">
      <c r="A141" s="1014"/>
      <c r="B141" s="1014"/>
      <c r="C141" s="1014"/>
      <c r="D141" s="1014"/>
      <c r="E141" s="1014"/>
      <c r="F141" s="1030"/>
      <c r="G141" s="1030"/>
      <c r="H141" s="1014"/>
      <c r="I141" s="1067"/>
      <c r="J141" s="1029"/>
      <c r="K141" s="1037"/>
      <c r="L141" s="1014"/>
      <c r="M141" s="1014"/>
      <c r="N141" s="1014"/>
    </row>
    <row r="142" spans="1:14">
      <c r="A142" s="1014"/>
      <c r="B142" s="1014"/>
      <c r="C142" s="1014"/>
      <c r="D142" s="1014"/>
      <c r="E142" s="1014"/>
      <c r="F142" s="1030"/>
      <c r="G142" s="1030"/>
      <c r="H142" s="1014"/>
      <c r="I142" s="1067"/>
      <c r="J142" s="1029"/>
      <c r="K142" s="1037"/>
      <c r="L142" s="1014"/>
      <c r="M142" s="1014"/>
      <c r="N142" s="1014"/>
    </row>
    <row r="143" spans="1:14" ht="15.75">
      <c r="A143" s="1072"/>
      <c r="B143" s="1014"/>
      <c r="C143" s="1014"/>
      <c r="D143" s="1014"/>
      <c r="E143" s="1072"/>
      <c r="F143" s="1035"/>
      <c r="G143" s="1035"/>
      <c r="H143" s="1096"/>
      <c r="I143" s="1067"/>
      <c r="J143" s="1096"/>
      <c r="K143" s="1069"/>
      <c r="L143" s="1014"/>
      <c r="M143" s="1014"/>
      <c r="N143" s="1014"/>
    </row>
    <row r="144" spans="1:14" ht="15.75">
      <c r="A144" s="1072"/>
      <c r="B144" s="1014"/>
      <c r="C144" s="1014"/>
      <c r="D144" s="1014"/>
      <c r="E144" s="1035"/>
      <c r="F144" s="1035"/>
      <c r="G144" s="1035"/>
      <c r="H144" s="1035"/>
      <c r="I144" s="1035"/>
      <c r="J144" s="1035"/>
      <c r="K144" s="1035"/>
      <c r="L144" s="1014"/>
      <c r="M144" s="1014"/>
      <c r="N144" s="1014"/>
    </row>
    <row r="145" spans="1:14">
      <c r="A145" s="1014"/>
      <c r="B145" s="1014"/>
      <c r="C145" s="1014"/>
      <c r="D145" s="1074"/>
      <c r="E145" s="1065"/>
      <c r="F145" s="1042"/>
      <c r="G145" s="1014"/>
      <c r="H145" s="1014"/>
      <c r="I145" s="1014"/>
      <c r="J145" s="1014"/>
      <c r="K145" s="1014"/>
      <c r="L145" s="1014"/>
      <c r="M145" s="1014"/>
      <c r="N145" s="1014"/>
    </row>
    <row r="146" spans="1:14">
      <c r="A146" s="1014"/>
      <c r="B146" s="1014"/>
      <c r="C146" s="1014"/>
      <c r="D146" s="1074"/>
      <c r="E146" s="1109"/>
      <c r="F146" s="1014"/>
      <c r="G146" s="1014"/>
      <c r="H146" s="1076"/>
      <c r="I146" s="1014"/>
      <c r="J146" s="1014"/>
      <c r="K146" s="1014"/>
      <c r="L146" s="1014"/>
      <c r="M146" s="1014"/>
      <c r="N146" s="1014"/>
    </row>
    <row r="147" spans="1:14">
      <c r="A147" s="1014"/>
      <c r="B147" s="1014"/>
      <c r="C147" s="1014"/>
      <c r="D147" s="1014"/>
      <c r="E147" s="1014"/>
      <c r="F147" s="1084"/>
      <c r="G147" s="1014"/>
      <c r="H147" s="1076"/>
      <c r="I147" s="1014"/>
      <c r="J147" s="1014"/>
      <c r="K147" s="1014"/>
      <c r="L147" s="1014"/>
      <c r="M147" s="1014"/>
      <c r="N147" s="1014"/>
    </row>
    <row r="148" spans="1:14">
      <c r="A148" s="1014"/>
      <c r="B148" s="1014"/>
      <c r="C148" s="1014"/>
      <c r="D148" s="1014"/>
      <c r="E148" s="1014"/>
      <c r="F148" s="1084"/>
      <c r="G148" s="1014"/>
      <c r="H148" s="1014"/>
      <c r="I148" s="1014"/>
      <c r="J148" s="1014"/>
      <c r="K148" s="1014"/>
      <c r="L148" s="1014"/>
      <c r="M148" s="1014"/>
      <c r="N148" s="1014"/>
    </row>
    <row r="149" spans="1:14">
      <c r="A149" s="1014"/>
      <c r="B149" s="1014"/>
      <c r="C149" s="1014"/>
      <c r="D149" s="1014"/>
      <c r="E149" s="1067"/>
      <c r="F149" s="1030"/>
      <c r="G149" s="1035"/>
      <c r="H149" s="1014"/>
      <c r="I149" s="1067"/>
      <c r="J149" s="1035"/>
      <c r="K149" s="1110"/>
      <c r="L149" s="1014"/>
      <c r="M149" s="1014"/>
      <c r="N149" s="1014"/>
    </row>
    <row r="150" spans="1:14">
      <c r="A150" s="1029"/>
      <c r="B150" s="1040"/>
      <c r="C150" s="1032"/>
      <c r="D150" s="1014"/>
      <c r="E150" s="1067"/>
      <c r="F150" s="1014"/>
      <c r="G150" s="1014"/>
      <c r="H150" s="1014"/>
      <c r="I150" s="1067"/>
      <c r="J150" s="1014"/>
      <c r="K150" s="1111"/>
      <c r="L150" s="1014"/>
      <c r="M150" s="1014"/>
      <c r="N150" s="1014"/>
    </row>
    <row r="151" spans="1:14">
      <c r="A151" s="1014"/>
      <c r="B151" s="1014"/>
      <c r="C151" s="1014"/>
      <c r="D151" s="1014"/>
      <c r="E151" s="1014"/>
      <c r="F151" s="1042"/>
      <c r="G151" s="1014"/>
      <c r="H151" s="1014"/>
      <c r="I151" s="1014"/>
      <c r="J151" s="1014"/>
      <c r="K151" s="1014"/>
      <c r="L151" s="1014"/>
      <c r="M151" s="1014"/>
      <c r="N151" s="1014"/>
    </row>
    <row r="152" spans="1:14">
      <c r="A152" s="1014"/>
      <c r="B152" s="1014"/>
      <c r="C152" s="1014"/>
      <c r="D152" s="1014"/>
      <c r="E152" s="1112"/>
      <c r="F152" s="1035"/>
      <c r="G152" s="1035"/>
      <c r="H152" s="1035"/>
      <c r="I152" s="1035"/>
      <c r="J152" s="1035"/>
      <c r="K152" s="1113"/>
      <c r="L152" s="1014"/>
      <c r="M152" s="1014"/>
      <c r="N152" s="1014"/>
    </row>
    <row r="153" spans="1:14">
      <c r="A153" s="1014"/>
      <c r="B153" s="1014"/>
      <c r="C153" s="1014"/>
      <c r="D153" s="1014"/>
      <c r="E153" s="1014"/>
      <c r="F153" s="1014"/>
      <c r="G153" s="1014"/>
      <c r="H153" s="1014"/>
      <c r="I153" s="1014"/>
      <c r="J153" s="1014"/>
      <c r="K153" s="1014"/>
      <c r="L153" s="1014"/>
      <c r="M153" s="1014"/>
      <c r="N153" s="1014"/>
    </row>
    <row r="154" spans="1:14">
      <c r="A154" s="1014"/>
      <c r="B154" s="1014"/>
      <c r="C154" s="1014"/>
      <c r="D154" s="1014"/>
      <c r="E154" s="1014"/>
      <c r="F154" s="1014"/>
      <c r="G154" s="1058"/>
      <c r="H154" s="1014"/>
      <c r="I154" s="1014"/>
      <c r="J154" s="1014"/>
      <c r="K154" s="1029"/>
      <c r="L154" s="1014"/>
      <c r="M154" s="1014"/>
      <c r="N154" s="1014"/>
    </row>
    <row r="155" spans="1:14">
      <c r="A155" s="1014"/>
      <c r="B155" s="1014"/>
      <c r="C155" s="1014"/>
      <c r="D155" s="1014"/>
      <c r="E155" s="1014"/>
      <c r="F155" s="1014"/>
      <c r="G155" s="1014"/>
      <c r="H155" s="1114"/>
      <c r="I155" s="1014"/>
      <c r="J155" s="1014"/>
      <c r="K155" s="1115"/>
      <c r="L155" s="1042"/>
      <c r="M155" s="1014"/>
      <c r="N155" s="1014"/>
    </row>
    <row r="156" spans="1:14">
      <c r="A156" s="1014"/>
      <c r="B156" s="1014"/>
      <c r="C156" s="1014"/>
      <c r="D156" s="1014"/>
      <c r="E156" s="1014"/>
      <c r="F156" s="1014"/>
      <c r="G156" s="1014"/>
      <c r="H156" s="1114"/>
      <c r="I156" s="1014"/>
      <c r="J156" s="1014"/>
      <c r="K156" s="1115"/>
      <c r="L156" s="1042"/>
      <c r="M156" s="1014"/>
      <c r="N156" s="1014"/>
    </row>
    <row r="157" spans="1:14" ht="15.75">
      <c r="A157" s="1014"/>
      <c r="B157" s="1014"/>
      <c r="C157" s="1014"/>
      <c r="D157" s="1014"/>
      <c r="E157" s="1014"/>
      <c r="F157" s="1116"/>
      <c r="G157" s="1014"/>
      <c r="H157" s="1014"/>
      <c r="I157" s="1014"/>
      <c r="J157" s="1014"/>
      <c r="K157" s="1014"/>
      <c r="L157" s="1014"/>
      <c r="M157" s="1014"/>
      <c r="N157" s="1014"/>
    </row>
    <row r="158" spans="1:14">
      <c r="A158" s="1014"/>
      <c r="B158" s="1014"/>
      <c r="C158" s="1014"/>
      <c r="D158" s="1014"/>
      <c r="E158" s="1014"/>
      <c r="F158" s="1014"/>
      <c r="G158" s="1114"/>
      <c r="H158" s="1014"/>
      <c r="I158" s="1014"/>
      <c r="J158" s="1014"/>
      <c r="K158" s="1014"/>
      <c r="L158" s="1014"/>
      <c r="M158" s="1014"/>
      <c r="N158" s="1014"/>
    </row>
    <row r="159" spans="1:14">
      <c r="A159" s="1014"/>
      <c r="B159" s="1014"/>
      <c r="C159" s="1014"/>
      <c r="D159" s="1014"/>
      <c r="E159" s="1014"/>
      <c r="F159" s="1114"/>
      <c r="G159" s="1014"/>
      <c r="H159" s="1032"/>
      <c r="I159" s="1014"/>
      <c r="J159" s="1014"/>
      <c r="K159" s="1014"/>
      <c r="L159" s="1014"/>
      <c r="M159" s="1014"/>
      <c r="N159" s="1014"/>
    </row>
    <row r="160" spans="1:14">
      <c r="A160" s="1014"/>
      <c r="B160" s="1014"/>
      <c r="C160" s="1014"/>
      <c r="D160" s="1014"/>
      <c r="E160" s="1014"/>
      <c r="F160" s="1114"/>
      <c r="G160" s="1014"/>
      <c r="H160" s="1032"/>
      <c r="I160" s="1014"/>
      <c r="J160" s="1014"/>
      <c r="K160" s="1014"/>
      <c r="L160" s="1014"/>
      <c r="M160" s="1014"/>
      <c r="N160" s="1014"/>
    </row>
    <row r="161" spans="1:14">
      <c r="A161" s="1014"/>
      <c r="B161" s="1014"/>
      <c r="C161" s="1014"/>
      <c r="D161" s="1014"/>
      <c r="E161" s="1014"/>
      <c r="F161" s="1014"/>
      <c r="G161" s="1042"/>
      <c r="H161" s="1014"/>
      <c r="I161" s="1014"/>
      <c r="J161" s="1014"/>
      <c r="K161" s="1014"/>
      <c r="L161" s="1014"/>
      <c r="M161" s="1014"/>
      <c r="N161" s="1014"/>
    </row>
    <row r="162" spans="1:14">
      <c r="A162" s="1014"/>
      <c r="B162" s="1014"/>
      <c r="C162" s="1014"/>
      <c r="D162" s="1014"/>
      <c r="E162" s="1014"/>
      <c r="F162" s="1014"/>
      <c r="G162" s="1014"/>
      <c r="H162" s="1014"/>
      <c r="I162" s="1014"/>
      <c r="J162" s="1014"/>
      <c r="K162" s="1014"/>
      <c r="L162" s="1014"/>
      <c r="M162" s="1014"/>
      <c r="N162" s="1014"/>
    </row>
    <row r="163" spans="1:14">
      <c r="A163" s="1014"/>
      <c r="B163" s="1014"/>
      <c r="C163" s="1014"/>
      <c r="D163" s="1014"/>
      <c r="E163" s="1014"/>
      <c r="F163" s="1014"/>
      <c r="G163" s="1014"/>
      <c r="H163" s="1014"/>
      <c r="I163" s="1014"/>
      <c r="J163" s="1014"/>
      <c r="K163" s="1014"/>
      <c r="L163" s="1014"/>
      <c r="M163" s="1014"/>
      <c r="N163" s="1014"/>
    </row>
    <row r="164" spans="1:14">
      <c r="A164" s="1014"/>
      <c r="B164" s="1014"/>
      <c r="C164" s="1014"/>
      <c r="D164" s="1014"/>
      <c r="E164" s="1014"/>
      <c r="F164" s="1014"/>
      <c r="G164" s="1014"/>
      <c r="H164" s="1014"/>
      <c r="I164" s="1014"/>
      <c r="J164" s="1014"/>
      <c r="K164" s="1014"/>
      <c r="L164" s="1014"/>
      <c r="M164" s="1014"/>
      <c r="N164" s="1014"/>
    </row>
    <row r="165" spans="1:14">
      <c r="A165" s="1014"/>
      <c r="B165" s="1014"/>
      <c r="C165" s="1014"/>
      <c r="D165" s="1014"/>
      <c r="E165" s="1014"/>
      <c r="F165" s="1014"/>
      <c r="G165" s="1014"/>
      <c r="H165" s="1014"/>
      <c r="I165" s="1014"/>
      <c r="J165" s="1014"/>
      <c r="K165" s="1014"/>
      <c r="L165" s="1014"/>
      <c r="M165" s="1014"/>
      <c r="N165" s="1014"/>
    </row>
    <row r="166" spans="1:14">
      <c r="A166" s="1014"/>
      <c r="B166" s="1014"/>
      <c r="C166" s="1014"/>
      <c r="D166" s="1014"/>
      <c r="E166" s="1014"/>
      <c r="F166" s="1014"/>
      <c r="G166" s="1014"/>
      <c r="H166" s="1014"/>
      <c r="I166" s="1014"/>
      <c r="J166" s="1014"/>
      <c r="K166" s="1014"/>
      <c r="L166" s="1014"/>
      <c r="M166" s="1014"/>
      <c r="N166" s="1014"/>
    </row>
    <row r="167" spans="1:14">
      <c r="A167" s="1014"/>
      <c r="B167" s="1014"/>
      <c r="C167" s="1014"/>
      <c r="D167" s="1014"/>
      <c r="E167" s="1014"/>
      <c r="F167" s="1014"/>
      <c r="G167" s="1014"/>
      <c r="H167" s="1014"/>
      <c r="I167" s="1014"/>
      <c r="J167" s="1014"/>
      <c r="K167" s="1014"/>
      <c r="L167" s="1014"/>
      <c r="M167" s="1014"/>
      <c r="N167" s="1014"/>
    </row>
    <row r="168" spans="1:14">
      <c r="A168" s="1014"/>
      <c r="B168" s="1014"/>
      <c r="C168" s="1014"/>
      <c r="D168" s="1014"/>
      <c r="E168" s="1014"/>
      <c r="F168" s="1014"/>
      <c r="G168" s="1014"/>
      <c r="H168" s="1014"/>
      <c r="I168" s="1014"/>
      <c r="J168" s="1014"/>
      <c r="K168" s="1014"/>
      <c r="L168" s="1014"/>
      <c r="M168" s="1014"/>
      <c r="N168" s="1014"/>
    </row>
    <row r="169" spans="1:14">
      <c r="A169" s="1014"/>
      <c r="B169" s="1014"/>
      <c r="C169" s="1014"/>
      <c r="D169" s="1014"/>
      <c r="E169" s="1014"/>
      <c r="F169" s="1014"/>
      <c r="G169" s="1014"/>
      <c r="H169" s="1014"/>
      <c r="I169" s="1014"/>
      <c r="J169" s="1014"/>
      <c r="K169" s="1014"/>
      <c r="L169" s="1014"/>
      <c r="M169" s="1014"/>
      <c r="N169" s="1014"/>
    </row>
    <row r="170" spans="1:14">
      <c r="A170" s="1014"/>
      <c r="B170" s="1014"/>
      <c r="C170" s="1014"/>
      <c r="D170" s="1014"/>
      <c r="E170" s="1014"/>
      <c r="F170" s="1014"/>
      <c r="G170" s="1014"/>
      <c r="H170" s="1014"/>
      <c r="I170" s="1014"/>
      <c r="J170" s="1014"/>
      <c r="K170" s="1014"/>
      <c r="L170" s="1014"/>
      <c r="M170" s="1014"/>
      <c r="N170" s="1014"/>
    </row>
    <row r="171" spans="1:14">
      <c r="A171" s="1014"/>
      <c r="B171" s="1014"/>
      <c r="C171" s="1014"/>
      <c r="D171" s="1014"/>
      <c r="E171" s="1014"/>
      <c r="F171" s="1014"/>
      <c r="G171" s="1014"/>
      <c r="H171" s="1014"/>
      <c r="I171" s="1014"/>
      <c r="J171" s="1014"/>
      <c r="K171" s="1014"/>
      <c r="L171" s="1014"/>
      <c r="M171" s="1014"/>
      <c r="N171" s="1014"/>
    </row>
    <row r="172" spans="1:14">
      <c r="A172" s="1014"/>
      <c r="B172" s="1014"/>
      <c r="C172" s="1014"/>
      <c r="D172" s="1014"/>
      <c r="E172" s="1014"/>
      <c r="F172" s="1014"/>
      <c r="G172" s="1014"/>
      <c r="H172" s="1014"/>
      <c r="I172" s="1014"/>
      <c r="J172" s="1014"/>
      <c r="K172" s="1014"/>
      <c r="L172" s="1014"/>
      <c r="M172" s="1014"/>
      <c r="N172" s="1014"/>
    </row>
    <row r="173" spans="1:14">
      <c r="A173" s="1014"/>
      <c r="B173" s="1014"/>
      <c r="C173" s="1014"/>
      <c r="D173" s="1014"/>
      <c r="E173" s="1014"/>
      <c r="F173" s="1014"/>
      <c r="G173" s="1014"/>
      <c r="H173" s="1014"/>
      <c r="I173" s="1014"/>
      <c r="J173" s="1014"/>
      <c r="K173" s="1014"/>
      <c r="L173" s="1014"/>
      <c r="M173" s="1014"/>
      <c r="N173" s="1014"/>
    </row>
    <row r="174" spans="1:14">
      <c r="A174" s="1014"/>
      <c r="B174" s="1014"/>
      <c r="C174" s="1014"/>
      <c r="D174" s="1014"/>
      <c r="E174" s="1014"/>
      <c r="F174" s="1014"/>
      <c r="G174" s="1014"/>
      <c r="H174" s="1014"/>
      <c r="I174" s="1014"/>
      <c r="J174" s="1014"/>
      <c r="K174" s="1014"/>
      <c r="L174" s="1014"/>
      <c r="M174" s="1014"/>
      <c r="N174" s="1014"/>
    </row>
    <row r="175" spans="1:14">
      <c r="A175" s="1014"/>
      <c r="B175" s="1014"/>
      <c r="C175" s="1014"/>
      <c r="D175" s="1014"/>
      <c r="E175" s="1014"/>
      <c r="F175" s="1014"/>
      <c r="G175" s="1014"/>
      <c r="H175" s="1014"/>
      <c r="I175" s="1014"/>
      <c r="J175" s="1014"/>
      <c r="K175" s="1014"/>
      <c r="L175" s="1014"/>
      <c r="M175" s="1014"/>
      <c r="N175" s="1014"/>
    </row>
    <row r="176" spans="1:14">
      <c r="A176" s="1014"/>
      <c r="B176" s="1014"/>
      <c r="C176" s="1014"/>
      <c r="D176" s="1014"/>
      <c r="E176" s="1014"/>
      <c r="F176" s="1014"/>
      <c r="G176" s="1014"/>
      <c r="H176" s="1014"/>
      <c r="I176" s="1014"/>
      <c r="J176" s="1014"/>
      <c r="K176" s="1014"/>
      <c r="L176" s="1014"/>
      <c r="M176" s="1014"/>
      <c r="N176" s="1014"/>
    </row>
    <row r="177" spans="1:14">
      <c r="A177" s="1014"/>
      <c r="B177" s="1014"/>
      <c r="C177" s="1014"/>
      <c r="D177" s="1014"/>
      <c r="E177" s="1014"/>
      <c r="F177" s="1014"/>
      <c r="G177" s="1014"/>
      <c r="H177" s="1014"/>
      <c r="I177" s="1014"/>
      <c r="J177" s="1014"/>
      <c r="K177" s="1014"/>
      <c r="L177" s="1014"/>
      <c r="M177" s="1014"/>
      <c r="N177" s="1014"/>
    </row>
    <row r="178" spans="1:14">
      <c r="A178" s="1014"/>
      <c r="B178" s="1014"/>
      <c r="C178" s="1014"/>
      <c r="D178" s="1014"/>
      <c r="E178" s="1014"/>
      <c r="F178" s="1014"/>
      <c r="G178" s="1014"/>
      <c r="H178" s="1014"/>
      <c r="I178" s="1014"/>
      <c r="J178" s="1014"/>
      <c r="K178" s="1014"/>
      <c r="L178" s="1014"/>
      <c r="M178" s="1014"/>
      <c r="N178" s="1014"/>
    </row>
    <row r="179" spans="1:14">
      <c r="A179" s="1014"/>
      <c r="B179" s="1014"/>
      <c r="C179" s="1014"/>
      <c r="D179" s="1014"/>
      <c r="E179" s="1014"/>
      <c r="F179" s="1014"/>
      <c r="G179" s="1014"/>
      <c r="H179" s="1014"/>
      <c r="I179" s="1014"/>
      <c r="J179" s="1014"/>
      <c r="K179" s="1014"/>
      <c r="L179" s="1014"/>
      <c r="M179" s="1014"/>
      <c r="N179" s="1014"/>
    </row>
    <row r="180" spans="1:14">
      <c r="A180" s="1014"/>
      <c r="B180" s="1014"/>
      <c r="C180" s="1014"/>
      <c r="D180" s="1014"/>
      <c r="E180" s="1014"/>
      <c r="F180" s="1014"/>
      <c r="G180" s="1014"/>
      <c r="H180" s="1014"/>
      <c r="I180" s="1014"/>
      <c r="J180" s="1014"/>
      <c r="K180" s="1014"/>
      <c r="L180" s="1014"/>
      <c r="M180" s="1014"/>
      <c r="N180" s="1014"/>
    </row>
    <row r="181" spans="1:14">
      <c r="A181" s="1014"/>
      <c r="B181" s="1014"/>
      <c r="C181" s="1014"/>
      <c r="D181" s="1014"/>
      <c r="E181" s="1014"/>
      <c r="F181" s="1014"/>
      <c r="G181" s="1014"/>
      <c r="H181" s="1014"/>
      <c r="I181" s="1014"/>
      <c r="J181" s="1014"/>
      <c r="K181" s="1014"/>
      <c r="L181" s="1014"/>
      <c r="M181" s="1014"/>
      <c r="N181" s="1014"/>
    </row>
    <row r="182" spans="1:14">
      <c r="A182" s="1014"/>
      <c r="B182" s="1014"/>
      <c r="C182" s="1014"/>
      <c r="D182" s="1014"/>
      <c r="E182" s="1014"/>
      <c r="F182" s="1014"/>
      <c r="G182" s="1014"/>
      <c r="H182" s="1014"/>
      <c r="I182" s="1014"/>
      <c r="J182" s="1014"/>
      <c r="K182" s="1014"/>
      <c r="L182" s="1014"/>
      <c r="M182" s="1014"/>
      <c r="N182" s="1014"/>
    </row>
    <row r="183" spans="1:14">
      <c r="A183" s="1014"/>
      <c r="B183" s="1014"/>
      <c r="C183" s="1014"/>
      <c r="D183" s="1014"/>
      <c r="E183" s="1014"/>
      <c r="F183" s="1014"/>
      <c r="G183" s="1014"/>
      <c r="H183" s="1014"/>
      <c r="I183" s="1014"/>
      <c r="J183" s="1014"/>
      <c r="K183" s="1014"/>
      <c r="L183" s="1014"/>
      <c r="M183" s="1014"/>
      <c r="N183" s="1014"/>
    </row>
    <row r="184" spans="1:14">
      <c r="A184" s="1014"/>
      <c r="B184" s="1014"/>
      <c r="C184" s="1014"/>
      <c r="D184" s="1014"/>
      <c r="E184" s="1014"/>
      <c r="F184" s="1014"/>
      <c r="G184" s="1014"/>
      <c r="H184" s="1014"/>
      <c r="I184" s="1014"/>
      <c r="J184" s="1014"/>
      <c r="K184" s="1014"/>
      <c r="L184" s="1014"/>
      <c r="M184" s="1014"/>
      <c r="N184" s="1014"/>
    </row>
    <row r="185" spans="1:14">
      <c r="A185" s="1014"/>
      <c r="B185" s="1014"/>
      <c r="C185" s="1014"/>
      <c r="D185" s="1014"/>
      <c r="E185" s="1014"/>
      <c r="F185" s="1014"/>
      <c r="G185" s="1014"/>
      <c r="H185" s="1014"/>
      <c r="I185" s="1014"/>
      <c r="J185" s="1014"/>
      <c r="K185" s="1014"/>
      <c r="L185" s="1014"/>
      <c r="M185" s="1014"/>
      <c r="N185" s="1014"/>
    </row>
    <row r="186" spans="1:14">
      <c r="A186" s="1014"/>
      <c r="B186" s="1014"/>
      <c r="C186" s="1014"/>
      <c r="D186" s="1014"/>
      <c r="E186" s="1014"/>
      <c r="F186" s="1014"/>
      <c r="G186" s="1014"/>
      <c r="H186" s="1014"/>
      <c r="I186" s="1014"/>
      <c r="J186" s="1014"/>
      <c r="K186" s="1014"/>
      <c r="L186" s="1014"/>
      <c r="M186" s="1014"/>
      <c r="N186" s="1014"/>
    </row>
    <row r="187" spans="1:14">
      <c r="A187" s="1014"/>
      <c r="B187" s="1014"/>
      <c r="C187" s="1014"/>
      <c r="D187" s="1014"/>
      <c r="E187" s="1014"/>
      <c r="F187" s="1014"/>
      <c r="G187" s="1014"/>
      <c r="H187" s="1014"/>
      <c r="I187" s="1014"/>
      <c r="J187" s="1014"/>
      <c r="K187" s="1014"/>
      <c r="L187" s="1014"/>
      <c r="M187" s="1014"/>
      <c r="N187" s="1014"/>
    </row>
    <row r="188" spans="1:14">
      <c r="A188" s="1014"/>
      <c r="B188" s="1014"/>
      <c r="C188" s="1014"/>
      <c r="D188" s="1014"/>
      <c r="E188" s="1014"/>
      <c r="F188" s="1014"/>
      <c r="G188" s="1014"/>
      <c r="H188" s="1014"/>
      <c r="I188" s="1014"/>
      <c r="J188" s="1014"/>
      <c r="K188" s="1014"/>
      <c r="L188" s="1014"/>
      <c r="M188" s="1014"/>
      <c r="N188" s="1014"/>
    </row>
    <row r="189" spans="1:14">
      <c r="A189" s="1014"/>
      <c r="B189" s="1014"/>
      <c r="C189" s="1014"/>
      <c r="D189" s="1014"/>
      <c r="E189" s="1014"/>
      <c r="F189" s="1014"/>
      <c r="G189" s="1014"/>
      <c r="H189" s="1014"/>
      <c r="I189" s="1014"/>
      <c r="J189" s="1014"/>
      <c r="K189" s="1014"/>
      <c r="L189" s="1014"/>
      <c r="M189" s="1014"/>
      <c r="N189" s="1014"/>
    </row>
    <row r="190" spans="1:14">
      <c r="A190" s="1014"/>
      <c r="B190" s="1014"/>
      <c r="C190" s="1014"/>
      <c r="D190" s="1014"/>
      <c r="E190" s="1014"/>
      <c r="F190" s="1014"/>
      <c r="G190" s="1014"/>
      <c r="H190" s="1014"/>
      <c r="I190" s="1014"/>
      <c r="J190" s="1014"/>
      <c r="K190" s="1014"/>
      <c r="L190" s="1014"/>
      <c r="M190" s="1014"/>
      <c r="N190" s="1014"/>
    </row>
    <row r="191" spans="1:14">
      <c r="A191" s="1014"/>
      <c r="B191" s="1014"/>
      <c r="C191" s="1014"/>
      <c r="D191" s="1014"/>
      <c r="E191" s="1014"/>
      <c r="F191" s="1014"/>
      <c r="G191" s="1014"/>
      <c r="H191" s="1014"/>
      <c r="I191" s="1014"/>
      <c r="J191" s="1014"/>
      <c r="K191" s="1014"/>
      <c r="L191" s="1014"/>
      <c r="M191" s="1014"/>
      <c r="N191" s="1014"/>
    </row>
    <row r="192" spans="1:14">
      <c r="A192" s="1014"/>
      <c r="B192" s="1014"/>
      <c r="C192" s="1014"/>
      <c r="D192" s="1014"/>
      <c r="E192" s="1014"/>
      <c r="F192" s="1014"/>
      <c r="G192" s="1014"/>
      <c r="H192" s="1014"/>
      <c r="I192" s="1014"/>
      <c r="J192" s="1014"/>
      <c r="K192" s="1014"/>
      <c r="L192" s="1014"/>
      <c r="M192" s="1014"/>
      <c r="N192" s="1014"/>
    </row>
    <row r="193" spans="1:14">
      <c r="A193" s="1014"/>
      <c r="B193" s="1014"/>
      <c r="C193" s="1014"/>
      <c r="D193" s="1014"/>
      <c r="E193" s="1014"/>
      <c r="F193" s="1014"/>
      <c r="G193" s="1014"/>
      <c r="H193" s="1014"/>
      <c r="I193" s="1014"/>
      <c r="J193" s="1014"/>
      <c r="K193" s="1014"/>
      <c r="L193" s="1014"/>
      <c r="M193" s="1014"/>
      <c r="N193" s="1014"/>
    </row>
    <row r="194" spans="1:14">
      <c r="A194" s="1014"/>
      <c r="B194" s="1014"/>
      <c r="C194" s="1014"/>
      <c r="D194" s="1014"/>
      <c r="E194" s="1014"/>
      <c r="F194" s="1014"/>
      <c r="G194" s="1014"/>
      <c r="H194" s="1014"/>
      <c r="I194" s="1014"/>
      <c r="J194" s="1014"/>
      <c r="K194" s="1014"/>
      <c r="L194" s="1014"/>
      <c r="M194" s="1014"/>
      <c r="N194" s="1014"/>
    </row>
    <row r="195" spans="1:14">
      <c r="A195" s="1014"/>
      <c r="B195" s="1014"/>
      <c r="C195" s="1014"/>
      <c r="D195" s="1014"/>
      <c r="E195" s="1014"/>
      <c r="F195" s="1014"/>
      <c r="G195" s="1014"/>
      <c r="H195" s="1014"/>
      <c r="I195" s="1014"/>
      <c r="J195" s="1014"/>
      <c r="K195" s="1014"/>
      <c r="L195" s="1014"/>
      <c r="M195" s="1014"/>
      <c r="N195" s="1014"/>
    </row>
    <row r="196" spans="1:14">
      <c r="A196" s="1014"/>
      <c r="B196" s="1014"/>
      <c r="C196" s="1014"/>
      <c r="D196" s="1014"/>
      <c r="E196" s="1014"/>
      <c r="F196" s="1014"/>
      <c r="G196" s="1014"/>
      <c r="H196" s="1014"/>
      <c r="I196" s="1014"/>
      <c r="J196" s="1014"/>
      <c r="K196" s="1014"/>
      <c r="L196" s="1014"/>
      <c r="M196" s="1014"/>
      <c r="N196" s="1014"/>
    </row>
    <row r="197" spans="1:14">
      <c r="A197" s="1014"/>
      <c r="B197" s="1014"/>
      <c r="C197" s="1014"/>
      <c r="D197" s="1014"/>
      <c r="E197" s="1014"/>
      <c r="F197" s="1014"/>
      <c r="G197" s="1014"/>
      <c r="H197" s="1014"/>
      <c r="I197" s="1014"/>
      <c r="J197" s="1014"/>
      <c r="K197" s="1014"/>
      <c r="L197" s="1014"/>
      <c r="M197" s="1014"/>
      <c r="N197" s="1014"/>
    </row>
    <row r="198" spans="1:14">
      <c r="A198" s="1014"/>
      <c r="B198" s="1014"/>
      <c r="C198" s="1014"/>
      <c r="D198" s="1014"/>
      <c r="E198" s="1014"/>
      <c r="F198" s="1014"/>
      <c r="G198" s="1014"/>
      <c r="H198" s="1014"/>
      <c r="I198" s="1014"/>
      <c r="J198" s="1014"/>
      <c r="K198" s="1014"/>
      <c r="L198" s="1014"/>
      <c r="M198" s="1014"/>
      <c r="N198" s="1014"/>
    </row>
    <row r="199" spans="1:14">
      <c r="A199" s="1014"/>
      <c r="B199" s="1014"/>
      <c r="C199" s="1014"/>
      <c r="D199" s="1014"/>
      <c r="E199" s="1014"/>
      <c r="F199" s="1014"/>
      <c r="G199" s="1014"/>
      <c r="H199" s="1014"/>
      <c r="I199" s="1014"/>
      <c r="J199" s="1014"/>
      <c r="K199" s="1014"/>
      <c r="L199" s="1014"/>
      <c r="M199" s="1014"/>
      <c r="N199" s="1014"/>
    </row>
    <row r="200" spans="1:14">
      <c r="A200" s="1014"/>
      <c r="B200" s="1014"/>
      <c r="C200" s="1014"/>
      <c r="D200" s="1014"/>
      <c r="E200" s="1014"/>
      <c r="F200" s="1014"/>
      <c r="G200" s="1014"/>
      <c r="H200" s="1014"/>
      <c r="I200" s="1014"/>
      <c r="J200" s="1014"/>
      <c r="K200" s="1014"/>
      <c r="L200" s="1014"/>
      <c r="M200" s="1014"/>
      <c r="N200" s="1014"/>
    </row>
    <row r="201" spans="1:14">
      <c r="A201" s="1014"/>
      <c r="B201" s="1014"/>
      <c r="C201" s="1014"/>
      <c r="D201" s="1014"/>
      <c r="E201" s="1014"/>
      <c r="F201" s="1014"/>
      <c r="G201" s="1014"/>
      <c r="H201" s="1014"/>
      <c r="I201" s="1014"/>
      <c r="J201" s="1014"/>
      <c r="K201" s="1014"/>
      <c r="L201" s="1014"/>
      <c r="M201" s="1014"/>
      <c r="N201" s="1014"/>
    </row>
    <row r="202" spans="1:14">
      <c r="A202" s="1014"/>
      <c r="B202" s="1014"/>
      <c r="C202" s="1014"/>
      <c r="D202" s="1014"/>
      <c r="E202" s="1014"/>
      <c r="F202" s="1014"/>
      <c r="G202" s="1014"/>
      <c r="H202" s="1014"/>
      <c r="I202" s="1014"/>
      <c r="J202" s="1014"/>
      <c r="K202" s="1014"/>
      <c r="L202" s="1014"/>
      <c r="M202" s="1014"/>
      <c r="N202" s="1014"/>
    </row>
    <row r="203" spans="1:14">
      <c r="A203" s="1014"/>
      <c r="B203" s="1014"/>
      <c r="C203" s="1014"/>
      <c r="D203" s="1014"/>
      <c r="E203" s="1014"/>
      <c r="F203" s="1014"/>
      <c r="G203" s="1014"/>
      <c r="H203" s="1014"/>
      <c r="I203" s="1014"/>
      <c r="J203" s="1014"/>
      <c r="K203" s="1014"/>
      <c r="L203" s="1014"/>
      <c r="M203" s="1014"/>
      <c r="N203" s="1014"/>
    </row>
    <row r="204" spans="1:14">
      <c r="A204" s="1014"/>
      <c r="B204" s="1014"/>
      <c r="C204" s="1014"/>
      <c r="D204" s="1014"/>
      <c r="E204" s="1014"/>
      <c r="F204" s="1014"/>
      <c r="G204" s="1014"/>
      <c r="H204" s="1014"/>
      <c r="I204" s="1014"/>
      <c r="J204" s="1014"/>
      <c r="K204" s="1014"/>
      <c r="L204" s="1014"/>
      <c r="M204" s="1014"/>
      <c r="N204" s="1014"/>
    </row>
    <row r="205" spans="1:14">
      <c r="A205" s="1014"/>
      <c r="B205" s="1014"/>
      <c r="C205" s="1014"/>
      <c r="D205" s="1014"/>
      <c r="E205" s="1014"/>
      <c r="F205" s="1014"/>
      <c r="G205" s="1014"/>
      <c r="H205" s="1014"/>
      <c r="I205" s="1014"/>
      <c r="J205" s="1014"/>
      <c r="K205" s="1014"/>
      <c r="L205" s="1014"/>
      <c r="M205" s="1014"/>
      <c r="N205" s="1014"/>
    </row>
    <row r="206" spans="1:14">
      <c r="A206" s="1014"/>
      <c r="B206" s="1014"/>
      <c r="C206" s="1014"/>
      <c r="D206" s="1014"/>
      <c r="E206" s="1014"/>
      <c r="F206" s="1014"/>
      <c r="G206" s="1014"/>
      <c r="H206" s="1014"/>
      <c r="I206" s="1014"/>
      <c r="J206" s="1014"/>
      <c r="K206" s="1014"/>
      <c r="L206" s="1014"/>
      <c r="M206" s="1014"/>
      <c r="N206" s="1014"/>
    </row>
    <row r="207" spans="1:14">
      <c r="A207" s="1014"/>
      <c r="B207" s="1014"/>
      <c r="C207" s="1014"/>
      <c r="D207" s="1014"/>
      <c r="E207" s="1014"/>
      <c r="F207" s="1014"/>
      <c r="G207" s="1014"/>
      <c r="H207" s="1014"/>
      <c r="I207" s="1014"/>
      <c r="J207" s="1014"/>
      <c r="K207" s="1014"/>
      <c r="L207" s="1014"/>
      <c r="M207" s="1014"/>
      <c r="N207" s="1014"/>
    </row>
    <row r="208" spans="1:14">
      <c r="A208" s="1014"/>
      <c r="B208" s="1014"/>
      <c r="C208" s="1014"/>
      <c r="D208" s="1014"/>
      <c r="E208" s="1014"/>
      <c r="F208" s="1014"/>
      <c r="G208" s="1014"/>
      <c r="H208" s="1014"/>
      <c r="I208" s="1014"/>
      <c r="J208" s="1014"/>
      <c r="K208" s="1014"/>
      <c r="L208" s="1014"/>
      <c r="M208" s="1014"/>
      <c r="N208" s="1014"/>
    </row>
    <row r="209" spans="1:14">
      <c r="A209" s="1014"/>
      <c r="B209" s="1014"/>
      <c r="C209" s="1014"/>
      <c r="D209" s="1014"/>
      <c r="E209" s="1014"/>
      <c r="F209" s="1014"/>
      <c r="G209" s="1014"/>
      <c r="H209" s="1014"/>
      <c r="I209" s="1014"/>
      <c r="J209" s="1014"/>
      <c r="K209" s="1014"/>
      <c r="L209" s="1014"/>
      <c r="M209" s="1014"/>
      <c r="N209" s="1014"/>
    </row>
    <row r="210" spans="1:14">
      <c r="A210" s="1014"/>
      <c r="B210" s="1014"/>
      <c r="C210" s="1014"/>
      <c r="D210" s="1014"/>
      <c r="E210" s="1014"/>
      <c r="F210" s="1014"/>
      <c r="G210" s="1014"/>
      <c r="H210" s="1014"/>
      <c r="I210" s="1014"/>
      <c r="J210" s="1014"/>
      <c r="K210" s="1014"/>
      <c r="L210" s="1014"/>
      <c r="M210" s="1014"/>
      <c r="N210" s="1014"/>
    </row>
    <row r="211" spans="1:14">
      <c r="A211" s="1014"/>
      <c r="B211" s="1014"/>
      <c r="C211" s="1014"/>
      <c r="D211" s="1014"/>
      <c r="E211" s="1014"/>
      <c r="F211" s="1014"/>
      <c r="G211" s="1014"/>
      <c r="H211" s="1014"/>
      <c r="I211" s="1014"/>
      <c r="J211" s="1014"/>
      <c r="K211" s="1014"/>
      <c r="L211" s="1014"/>
      <c r="M211" s="1014"/>
      <c r="N211" s="1014"/>
    </row>
    <row r="212" spans="1:14">
      <c r="A212" s="1014"/>
      <c r="B212" s="1014"/>
      <c r="C212" s="1014"/>
      <c r="D212" s="1014"/>
      <c r="E212" s="1014"/>
      <c r="F212" s="1014"/>
      <c r="G212" s="1014"/>
      <c r="H212" s="1014"/>
      <c r="I212" s="1014"/>
      <c r="J212" s="1014"/>
      <c r="K212" s="1014"/>
      <c r="L212" s="1014"/>
      <c r="M212" s="1014"/>
      <c r="N212" s="1014"/>
    </row>
    <row r="213" spans="1:14">
      <c r="A213" s="1014"/>
      <c r="B213" s="1014"/>
      <c r="C213" s="1014"/>
      <c r="D213" s="1014"/>
      <c r="E213" s="1014"/>
      <c r="F213" s="1014"/>
      <c r="G213" s="1014"/>
      <c r="H213" s="1014"/>
      <c r="I213" s="1014"/>
      <c r="J213" s="1014"/>
      <c r="K213" s="1014"/>
      <c r="L213" s="1014"/>
      <c r="M213" s="1014"/>
      <c r="N213" s="1014"/>
    </row>
    <row r="214" spans="1:14">
      <c r="A214" s="1014"/>
      <c r="B214" s="1014"/>
      <c r="C214" s="1014"/>
      <c r="D214" s="1014"/>
      <c r="E214" s="1014"/>
      <c r="F214" s="1014"/>
      <c r="G214" s="1014"/>
      <c r="H214" s="1014"/>
      <c r="I214" s="1014"/>
      <c r="J214" s="1014"/>
      <c r="K214" s="1014"/>
      <c r="L214" s="1014"/>
      <c r="M214" s="1014"/>
      <c r="N214" s="1014"/>
    </row>
    <row r="215" spans="1:14">
      <c r="A215" s="1014"/>
      <c r="B215" s="1014"/>
      <c r="C215" s="1014"/>
      <c r="D215" s="1014"/>
      <c r="E215" s="1014"/>
      <c r="F215" s="1014"/>
      <c r="G215" s="1014"/>
      <c r="H215" s="1014"/>
      <c r="I215" s="1014"/>
      <c r="J215" s="1014"/>
      <c r="K215" s="1014"/>
      <c r="L215" s="1014"/>
      <c r="M215" s="1014"/>
      <c r="N215" s="1014"/>
    </row>
    <row r="216" spans="1:14">
      <c r="A216" s="1014"/>
      <c r="B216" s="1014"/>
      <c r="C216" s="1014"/>
      <c r="D216" s="1014"/>
      <c r="E216" s="1014"/>
      <c r="F216" s="1014"/>
      <c r="G216" s="1014"/>
      <c r="H216" s="1014"/>
      <c r="I216" s="1014"/>
      <c r="J216" s="1014"/>
      <c r="K216" s="1014"/>
      <c r="L216" s="1014"/>
      <c r="M216" s="1014"/>
      <c r="N216" s="1014"/>
    </row>
    <row r="217" spans="1:14">
      <c r="A217" s="1014"/>
      <c r="B217" s="1014"/>
      <c r="C217" s="1014"/>
      <c r="D217" s="1014"/>
      <c r="E217" s="1014"/>
      <c r="F217" s="1014"/>
      <c r="G217" s="1014"/>
      <c r="H217" s="1014"/>
      <c r="I217" s="1014"/>
      <c r="J217" s="1014"/>
      <c r="K217" s="1014"/>
      <c r="L217" s="1014"/>
      <c r="M217" s="1014"/>
      <c r="N217" s="1014"/>
    </row>
    <row r="218" spans="1:14">
      <c r="A218" s="1014"/>
      <c r="B218" s="1014"/>
      <c r="C218" s="1014"/>
      <c r="D218" s="1014"/>
      <c r="E218" s="1014"/>
      <c r="F218" s="1014"/>
      <c r="G218" s="1014"/>
      <c r="H218" s="1014"/>
      <c r="I218" s="1014"/>
      <c r="J218" s="1014"/>
      <c r="K218" s="1014"/>
      <c r="L218" s="1014"/>
      <c r="M218" s="1014"/>
      <c r="N218" s="1014"/>
    </row>
    <row r="219" spans="1:14">
      <c r="A219" s="1014"/>
      <c r="B219" s="1014"/>
      <c r="C219" s="1014"/>
      <c r="D219" s="1014"/>
      <c r="E219" s="1014"/>
      <c r="F219" s="1014"/>
      <c r="G219" s="1014"/>
      <c r="H219" s="1014"/>
      <c r="I219" s="1014"/>
      <c r="J219" s="1014"/>
      <c r="K219" s="1014"/>
      <c r="L219" s="1014"/>
      <c r="M219" s="1014"/>
      <c r="N219" s="1014"/>
    </row>
    <row r="220" spans="1:14">
      <c r="A220" s="1014"/>
      <c r="B220" s="1014"/>
      <c r="C220" s="1014"/>
      <c r="D220" s="1014"/>
      <c r="E220" s="1014"/>
      <c r="F220" s="1014"/>
      <c r="G220" s="1014"/>
      <c r="H220" s="1014"/>
      <c r="I220" s="1014"/>
      <c r="J220" s="1014"/>
      <c r="K220" s="1014"/>
      <c r="L220" s="1014"/>
      <c r="M220" s="1014"/>
      <c r="N220" s="1014"/>
    </row>
    <row r="221" spans="1:14">
      <c r="A221" s="1014"/>
      <c r="B221" s="1014"/>
      <c r="C221" s="1014"/>
      <c r="D221" s="1014"/>
      <c r="E221" s="1014"/>
      <c r="F221" s="1014"/>
      <c r="G221" s="1014"/>
      <c r="H221" s="1014"/>
      <c r="I221" s="1014"/>
      <c r="J221" s="1014"/>
      <c r="K221" s="1014"/>
      <c r="L221" s="1014"/>
      <c r="M221" s="1014"/>
      <c r="N221" s="1014"/>
    </row>
    <row r="222" spans="1:14">
      <c r="A222" s="1014"/>
      <c r="B222" s="1014"/>
      <c r="C222" s="1014"/>
      <c r="D222" s="1014"/>
      <c r="E222" s="1014"/>
      <c r="F222" s="1014"/>
      <c r="G222" s="1014"/>
      <c r="H222" s="1014"/>
      <c r="I222" s="1014"/>
      <c r="J222" s="1014"/>
      <c r="K222" s="1014"/>
      <c r="L222" s="1014"/>
      <c r="M222" s="1014"/>
      <c r="N222" s="1014"/>
    </row>
    <row r="223" spans="1:14">
      <c r="A223" s="1014"/>
      <c r="B223" s="1014"/>
      <c r="C223" s="1014"/>
      <c r="D223" s="1014"/>
      <c r="E223" s="1014"/>
      <c r="F223" s="1014"/>
      <c r="G223" s="1014"/>
      <c r="H223" s="1014"/>
      <c r="I223" s="1014"/>
      <c r="J223" s="1014"/>
      <c r="K223" s="1014"/>
      <c r="L223" s="1014"/>
      <c r="M223" s="1014"/>
      <c r="N223" s="1014"/>
    </row>
    <row r="224" spans="1:14">
      <c r="A224" s="1014"/>
      <c r="B224" s="1014"/>
      <c r="C224" s="1014"/>
      <c r="D224" s="1014"/>
      <c r="E224" s="1014"/>
      <c r="F224" s="1014"/>
      <c r="G224" s="1014"/>
      <c r="H224" s="1014"/>
      <c r="I224" s="1014"/>
      <c r="J224" s="1014"/>
      <c r="K224" s="1014"/>
      <c r="L224" s="1014"/>
      <c r="M224" s="1014"/>
      <c r="N224" s="1014"/>
    </row>
    <row r="225" spans="1:14">
      <c r="A225" s="1014"/>
      <c r="B225" s="1014"/>
      <c r="C225" s="1014"/>
      <c r="D225" s="1014"/>
      <c r="E225" s="1014"/>
      <c r="F225" s="1014"/>
      <c r="G225" s="1014"/>
      <c r="H225" s="1014"/>
      <c r="I225" s="1014"/>
      <c r="J225" s="1014"/>
      <c r="K225" s="1014"/>
      <c r="L225" s="1014"/>
      <c r="M225" s="1014"/>
      <c r="N225" s="1014"/>
    </row>
    <row r="226" spans="1:14">
      <c r="A226" s="1014"/>
      <c r="B226" s="1014"/>
      <c r="C226" s="1014"/>
      <c r="D226" s="1014"/>
      <c r="E226" s="1014"/>
      <c r="F226" s="1014"/>
      <c r="G226" s="1014"/>
      <c r="H226" s="1014"/>
      <c r="I226" s="1014"/>
      <c r="J226" s="1014"/>
      <c r="K226" s="1014"/>
      <c r="L226" s="1014"/>
      <c r="M226" s="1014"/>
      <c r="N226" s="1014"/>
    </row>
    <row r="227" spans="1:14">
      <c r="A227" s="1014"/>
      <c r="B227" s="1014"/>
      <c r="C227" s="1014"/>
      <c r="D227" s="1014"/>
      <c r="E227" s="1014"/>
      <c r="F227" s="1014"/>
      <c r="G227" s="1014"/>
      <c r="H227" s="1014"/>
      <c r="I227" s="1014"/>
      <c r="J227" s="1014"/>
      <c r="K227" s="1014"/>
      <c r="L227" s="1014"/>
      <c r="M227" s="1014"/>
      <c r="N227" s="1014"/>
    </row>
    <row r="228" spans="1:14">
      <c r="A228" s="1014"/>
      <c r="B228" s="1014"/>
      <c r="C228" s="1014"/>
      <c r="D228" s="1014"/>
      <c r="E228" s="1014"/>
      <c r="F228" s="1014"/>
      <c r="G228" s="1014"/>
      <c r="H228" s="1014"/>
      <c r="I228" s="1014"/>
      <c r="J228" s="1014"/>
      <c r="K228" s="1014"/>
      <c r="L228" s="1014"/>
      <c r="M228" s="1014"/>
      <c r="N228" s="1014"/>
    </row>
    <row r="229" spans="1:14">
      <c r="A229" s="1014"/>
      <c r="B229" s="1014"/>
      <c r="C229" s="1014"/>
      <c r="D229" s="1014"/>
      <c r="E229" s="1014"/>
      <c r="F229" s="1014"/>
      <c r="G229" s="1014"/>
      <c r="H229" s="1014"/>
      <c r="I229" s="1014"/>
      <c r="J229" s="1014"/>
      <c r="K229" s="1014"/>
      <c r="L229" s="1014"/>
      <c r="M229" s="1014"/>
      <c r="N229" s="1014"/>
    </row>
    <row r="230" spans="1:14">
      <c r="A230" s="1014"/>
      <c r="B230" s="1014"/>
      <c r="C230" s="1014"/>
      <c r="D230" s="1014"/>
      <c r="E230" s="1014"/>
      <c r="F230" s="1014"/>
      <c r="G230" s="1014"/>
      <c r="H230" s="1014"/>
      <c r="I230" s="1014"/>
      <c r="J230" s="1014"/>
      <c r="K230" s="1014"/>
      <c r="L230" s="1014"/>
      <c r="M230" s="1014"/>
      <c r="N230" s="1014"/>
    </row>
    <row r="231" spans="1:14">
      <c r="A231" s="1014"/>
      <c r="B231" s="1014"/>
      <c r="C231" s="1014"/>
      <c r="D231" s="1014"/>
      <c r="E231" s="1014"/>
      <c r="F231" s="1014"/>
      <c r="G231" s="1014"/>
      <c r="H231" s="1014"/>
      <c r="I231" s="1014"/>
      <c r="J231" s="1014"/>
      <c r="K231" s="1014"/>
      <c r="L231" s="1014"/>
      <c r="M231" s="1014"/>
      <c r="N231" s="1014"/>
    </row>
    <row r="232" spans="1:14">
      <c r="A232" s="1014"/>
      <c r="B232" s="1014"/>
      <c r="C232" s="1014"/>
      <c r="D232" s="1014"/>
      <c r="E232" s="1014"/>
      <c r="F232" s="1014"/>
      <c r="G232" s="1014"/>
      <c r="H232" s="1014"/>
      <c r="I232" s="1014"/>
      <c r="J232" s="1014"/>
      <c r="K232" s="1014"/>
      <c r="L232" s="1014"/>
      <c r="M232" s="1014"/>
      <c r="N232" s="1014"/>
    </row>
    <row r="233" spans="1:14">
      <c r="A233" s="1014"/>
      <c r="B233" s="1014"/>
      <c r="C233" s="1014"/>
      <c r="D233" s="1014"/>
      <c r="E233" s="1014"/>
      <c r="F233" s="1014"/>
      <c r="G233" s="1014"/>
      <c r="H233" s="1014"/>
      <c r="I233" s="1014"/>
      <c r="J233" s="1014"/>
      <c r="K233" s="1014"/>
      <c r="L233" s="1014"/>
      <c r="M233" s="1014"/>
      <c r="N233" s="1014"/>
    </row>
    <row r="234" spans="1:14">
      <c r="A234" s="1014"/>
      <c r="B234" s="1014"/>
      <c r="C234" s="1014"/>
      <c r="D234" s="1014"/>
      <c r="E234" s="1014"/>
      <c r="F234" s="1014"/>
      <c r="G234" s="1014"/>
      <c r="H234" s="1014"/>
      <c r="I234" s="1014"/>
      <c r="J234" s="1014"/>
      <c r="K234" s="1014"/>
      <c r="L234" s="1014"/>
      <c r="M234" s="1014"/>
      <c r="N234" s="1014"/>
    </row>
    <row r="235" spans="1:14">
      <c r="A235" s="1014"/>
      <c r="B235" s="1014"/>
      <c r="C235" s="1014"/>
      <c r="D235" s="1014"/>
      <c r="E235" s="1014"/>
      <c r="F235" s="1014"/>
      <c r="G235" s="1014"/>
      <c r="H235" s="1014"/>
      <c r="I235" s="1014"/>
      <c r="J235" s="1014"/>
      <c r="K235" s="1014"/>
      <c r="L235" s="1014"/>
      <c r="M235" s="1014"/>
      <c r="N235" s="1014"/>
    </row>
    <row r="236" spans="1:14">
      <c r="A236" s="1014"/>
      <c r="B236" s="1014"/>
      <c r="C236" s="1014"/>
      <c r="D236" s="1014"/>
      <c r="E236" s="1014"/>
      <c r="F236" s="1014"/>
      <c r="G236" s="1014"/>
      <c r="H236" s="1014"/>
      <c r="I236" s="1014"/>
      <c r="J236" s="1014"/>
      <c r="K236" s="1014"/>
      <c r="L236" s="1014"/>
      <c r="M236" s="1014"/>
      <c r="N236" s="1014"/>
    </row>
    <row r="237" spans="1:14">
      <c r="A237" s="1014"/>
      <c r="B237" s="1014"/>
      <c r="C237" s="1014"/>
      <c r="D237" s="1014"/>
      <c r="E237" s="1014"/>
      <c r="F237" s="1014"/>
      <c r="G237" s="1014"/>
      <c r="H237" s="1014"/>
      <c r="I237" s="1014"/>
      <c r="J237" s="1014"/>
      <c r="K237" s="1014"/>
      <c r="L237" s="1014"/>
      <c r="M237" s="1014"/>
      <c r="N237" s="1014"/>
    </row>
    <row r="238" spans="1:14">
      <c r="A238" s="1014"/>
      <c r="B238" s="1014"/>
      <c r="C238" s="1014"/>
      <c r="D238" s="1014"/>
      <c r="E238" s="1014"/>
      <c r="F238" s="1014"/>
      <c r="G238" s="1014"/>
      <c r="H238" s="1014"/>
      <c r="I238" s="1014"/>
      <c r="J238" s="1014"/>
      <c r="K238" s="1014"/>
      <c r="L238" s="1014"/>
      <c r="M238" s="1014"/>
      <c r="N238" s="1014"/>
    </row>
    <row r="239" spans="1:14">
      <c r="A239" s="1014"/>
      <c r="B239" s="1014"/>
      <c r="C239" s="1014"/>
      <c r="D239" s="1014"/>
      <c r="E239" s="1014"/>
      <c r="F239" s="1014"/>
      <c r="G239" s="1014"/>
      <c r="H239" s="1014"/>
      <c r="I239" s="1014"/>
      <c r="J239" s="1014"/>
      <c r="K239" s="1014"/>
      <c r="L239" s="1014"/>
      <c r="M239" s="1014"/>
      <c r="N239" s="1014"/>
    </row>
    <row r="240" spans="1:14">
      <c r="A240" s="1014"/>
      <c r="B240" s="1014"/>
      <c r="C240" s="1014"/>
      <c r="D240" s="1014"/>
      <c r="E240" s="1014"/>
      <c r="F240" s="1014"/>
      <c r="G240" s="1014"/>
      <c r="H240" s="1014"/>
      <c r="I240" s="1014"/>
      <c r="J240" s="1014"/>
      <c r="K240" s="1014"/>
      <c r="L240" s="1014"/>
      <c r="M240" s="1014"/>
      <c r="N240" s="1014"/>
    </row>
    <row r="241" spans="1:14">
      <c r="A241" s="1014"/>
      <c r="B241" s="1014"/>
      <c r="C241" s="1014"/>
      <c r="D241" s="1014"/>
      <c r="E241" s="1014"/>
      <c r="F241" s="1014"/>
      <c r="G241" s="1014"/>
      <c r="H241" s="1014"/>
      <c r="I241" s="1014"/>
      <c r="J241" s="1014"/>
      <c r="K241" s="1014"/>
      <c r="L241" s="1014"/>
      <c r="M241" s="1014"/>
      <c r="N241" s="1014"/>
    </row>
    <row r="242" spans="1:14">
      <c r="A242" s="1014"/>
      <c r="B242" s="1014"/>
      <c r="C242" s="1014"/>
      <c r="D242" s="1014"/>
      <c r="E242" s="1014"/>
      <c r="F242" s="1014"/>
      <c r="G242" s="1014"/>
      <c r="H242" s="1014"/>
      <c r="I242" s="1014"/>
      <c r="J242" s="1014"/>
      <c r="K242" s="1014"/>
      <c r="L242" s="1014"/>
      <c r="M242" s="1014"/>
      <c r="N242" s="1014"/>
    </row>
    <row r="243" spans="1:14">
      <c r="A243" s="1014"/>
      <c r="B243" s="1014"/>
      <c r="C243" s="1014"/>
      <c r="D243" s="1014"/>
      <c r="E243" s="1014"/>
      <c r="F243" s="1014"/>
      <c r="G243" s="1014"/>
      <c r="H243" s="1014"/>
      <c r="I243" s="1014"/>
      <c r="J243" s="1014"/>
      <c r="K243" s="1014"/>
      <c r="L243" s="1014"/>
      <c r="M243" s="1014"/>
      <c r="N243" s="1014"/>
    </row>
    <row r="244" spans="1:14">
      <c r="A244" s="1014"/>
      <c r="B244" s="1014"/>
      <c r="C244" s="1014"/>
      <c r="D244" s="1014"/>
      <c r="E244" s="1014"/>
      <c r="F244" s="1014"/>
      <c r="G244" s="1014"/>
      <c r="H244" s="1014"/>
      <c r="I244" s="1014"/>
      <c r="J244" s="1014"/>
      <c r="K244" s="1014"/>
      <c r="L244" s="1014"/>
      <c r="M244" s="1014"/>
      <c r="N244" s="1014"/>
    </row>
    <row r="245" spans="1:14">
      <c r="A245" s="1014"/>
      <c r="B245" s="1014"/>
      <c r="C245" s="1014"/>
      <c r="D245" s="1014"/>
      <c r="E245" s="1014"/>
      <c r="F245" s="1014"/>
      <c r="G245" s="1014"/>
      <c r="H245" s="1014"/>
      <c r="I245" s="1014"/>
      <c r="J245" s="1014"/>
      <c r="K245" s="1014"/>
      <c r="L245" s="1014"/>
      <c r="M245" s="1014"/>
      <c r="N245" s="1014"/>
    </row>
    <row r="246" spans="1:14">
      <c r="A246" s="1014"/>
      <c r="B246" s="1014"/>
      <c r="C246" s="1014"/>
      <c r="D246" s="1014"/>
      <c r="E246" s="1014"/>
      <c r="F246" s="1014"/>
      <c r="G246" s="1014"/>
      <c r="H246" s="1014"/>
      <c r="I246" s="1014"/>
      <c r="J246" s="1014"/>
      <c r="K246" s="1014"/>
      <c r="L246" s="1014"/>
      <c r="M246" s="1014"/>
      <c r="N246" s="1014"/>
    </row>
    <row r="247" spans="1:14">
      <c r="A247" s="1014"/>
      <c r="B247" s="1014"/>
      <c r="C247" s="1014"/>
      <c r="D247" s="1014"/>
      <c r="E247" s="1014"/>
      <c r="F247" s="1014"/>
      <c r="G247" s="1014"/>
      <c r="H247" s="1014"/>
      <c r="I247" s="1014"/>
      <c r="J247" s="1014"/>
      <c r="K247" s="1014"/>
      <c r="L247" s="1014"/>
      <c r="M247" s="1014"/>
      <c r="N247" s="1014"/>
    </row>
    <row r="248" spans="1:14">
      <c r="A248" s="1014"/>
      <c r="B248" s="1014"/>
      <c r="C248" s="1014"/>
      <c r="D248" s="1014"/>
      <c r="E248" s="1014"/>
      <c r="F248" s="1014"/>
      <c r="G248" s="1014"/>
      <c r="H248" s="1014"/>
      <c r="I248" s="1014"/>
      <c r="J248" s="1014"/>
      <c r="K248" s="1014"/>
      <c r="L248" s="1014"/>
      <c r="M248" s="1014"/>
      <c r="N248" s="1014"/>
    </row>
    <row r="249" spans="1:14">
      <c r="A249" s="1014"/>
      <c r="B249" s="1014"/>
      <c r="C249" s="1014"/>
      <c r="D249" s="1014"/>
      <c r="E249" s="1014"/>
      <c r="F249" s="1014"/>
      <c r="G249" s="1014"/>
      <c r="H249" s="1014"/>
      <c r="I249" s="1014"/>
      <c r="J249" s="1014"/>
      <c r="K249" s="1014"/>
      <c r="L249" s="1014"/>
      <c r="M249" s="1014"/>
      <c r="N249" s="1014"/>
    </row>
    <row r="250" spans="1:14">
      <c r="A250" s="1014"/>
      <c r="B250" s="1014"/>
      <c r="C250" s="1014"/>
      <c r="D250" s="1014"/>
      <c r="E250" s="1014"/>
      <c r="F250" s="1014"/>
      <c r="G250" s="1014"/>
      <c r="H250" s="1014"/>
      <c r="I250" s="1014"/>
      <c r="J250" s="1014"/>
      <c r="K250" s="1014"/>
      <c r="L250" s="1014"/>
      <c r="M250" s="1014"/>
      <c r="N250" s="1014"/>
    </row>
    <row r="251" spans="1:14">
      <c r="A251" s="1014"/>
      <c r="B251" s="1014"/>
      <c r="C251" s="1014"/>
      <c r="D251" s="1014"/>
      <c r="E251" s="1014"/>
      <c r="F251" s="1014"/>
      <c r="G251" s="1014"/>
      <c r="H251" s="1014"/>
      <c r="I251" s="1014"/>
      <c r="J251" s="1014"/>
      <c r="K251" s="1014"/>
      <c r="L251" s="1014"/>
      <c r="M251" s="1014"/>
      <c r="N251" s="1014"/>
    </row>
    <row r="252" spans="1:14">
      <c r="A252" s="1014"/>
      <c r="B252" s="1014"/>
      <c r="C252" s="1014"/>
      <c r="D252" s="1014"/>
      <c r="E252" s="1014"/>
      <c r="F252" s="1014"/>
      <c r="G252" s="1014"/>
      <c r="H252" s="1014"/>
      <c r="I252" s="1014"/>
      <c r="J252" s="1014"/>
      <c r="K252" s="1014"/>
      <c r="L252" s="1014"/>
      <c r="M252" s="1014"/>
      <c r="N252" s="1014"/>
    </row>
    <row r="253" spans="1:14">
      <c r="A253" s="1014"/>
      <c r="B253" s="1014"/>
      <c r="C253" s="1014"/>
      <c r="D253" s="1014"/>
      <c r="E253" s="1014"/>
      <c r="F253" s="1014"/>
      <c r="G253" s="1014"/>
      <c r="H253" s="1014"/>
      <c r="I253" s="1014"/>
      <c r="J253" s="1014"/>
      <c r="K253" s="1014"/>
      <c r="L253" s="1014"/>
      <c r="M253" s="1014"/>
      <c r="N253" s="1014"/>
    </row>
    <row r="254" spans="1:14">
      <c r="A254" s="1014"/>
      <c r="B254" s="1014"/>
      <c r="C254" s="1014"/>
      <c r="D254" s="1014"/>
      <c r="E254" s="1014"/>
      <c r="F254" s="1014"/>
      <c r="G254" s="1014"/>
      <c r="H254" s="1014"/>
      <c r="I254" s="1014"/>
      <c r="J254" s="1014"/>
      <c r="K254" s="1014"/>
      <c r="L254" s="1014"/>
      <c r="M254" s="1014"/>
      <c r="N254" s="1014"/>
    </row>
    <row r="255" spans="1:14">
      <c r="A255" s="1014"/>
      <c r="B255" s="1014"/>
      <c r="C255" s="1014"/>
      <c r="D255" s="1014"/>
      <c r="E255" s="1014"/>
      <c r="F255" s="1014"/>
      <c r="G255" s="1014"/>
      <c r="H255" s="1014"/>
      <c r="I255" s="1014"/>
      <c r="J255" s="1014"/>
      <c r="K255" s="1014"/>
      <c r="L255" s="1014"/>
      <c r="M255" s="1014"/>
      <c r="N255" s="1014"/>
    </row>
    <row r="256" spans="1:14">
      <c r="A256" s="1014"/>
      <c r="B256" s="1014"/>
      <c r="C256" s="1014"/>
      <c r="D256" s="1014"/>
      <c r="E256" s="1014"/>
      <c r="F256" s="1014"/>
      <c r="G256" s="1014"/>
      <c r="H256" s="1014"/>
      <c r="I256" s="1014"/>
      <c r="J256" s="1014"/>
      <c r="K256" s="1014"/>
      <c r="L256" s="1014"/>
      <c r="M256" s="1014"/>
      <c r="N256" s="1014"/>
    </row>
    <row r="257" spans="1:14">
      <c r="A257" s="1014"/>
      <c r="B257" s="1014"/>
      <c r="C257" s="1014"/>
      <c r="D257" s="1014"/>
      <c r="E257" s="1014"/>
      <c r="F257" s="1014"/>
      <c r="G257" s="1014"/>
      <c r="H257" s="1014"/>
      <c r="I257" s="1014"/>
      <c r="J257" s="1014"/>
      <c r="K257" s="1014"/>
      <c r="L257" s="1014"/>
      <c r="M257" s="1014"/>
      <c r="N257" s="1014"/>
    </row>
    <row r="258" spans="1:14">
      <c r="A258" s="1014"/>
      <c r="B258" s="1014"/>
      <c r="C258" s="1014"/>
      <c r="D258" s="1014"/>
      <c r="E258" s="1014"/>
      <c r="F258" s="1014"/>
      <c r="G258" s="1014"/>
      <c r="H258" s="1014"/>
      <c r="I258" s="1014"/>
      <c r="J258" s="1014"/>
      <c r="K258" s="1014"/>
      <c r="L258" s="1014"/>
      <c r="M258" s="1014"/>
      <c r="N258" s="1014"/>
    </row>
    <row r="259" spans="1:14">
      <c r="A259" s="1014"/>
      <c r="B259" s="1014"/>
      <c r="C259" s="1014"/>
      <c r="D259" s="1014"/>
      <c r="E259" s="1014"/>
      <c r="F259" s="1014"/>
      <c r="G259" s="1014"/>
      <c r="H259" s="1014"/>
      <c r="I259" s="1014"/>
      <c r="J259" s="1014"/>
      <c r="K259" s="1014"/>
      <c r="L259" s="1014"/>
      <c r="M259" s="1014"/>
      <c r="N259" s="1014"/>
    </row>
    <row r="260" spans="1:14">
      <c r="A260" s="1014"/>
      <c r="B260" s="1014"/>
      <c r="C260" s="1014"/>
      <c r="D260" s="1014"/>
      <c r="E260" s="1014"/>
      <c r="F260" s="1014"/>
      <c r="G260" s="1014"/>
      <c r="H260" s="1014"/>
      <c r="I260" s="1014"/>
      <c r="J260" s="1014"/>
      <c r="K260" s="1014"/>
      <c r="L260" s="1014"/>
      <c r="M260" s="1014"/>
      <c r="N260" s="1014"/>
    </row>
    <row r="261" spans="1:14">
      <c r="A261" s="1014"/>
      <c r="B261" s="1014"/>
      <c r="C261" s="1014"/>
      <c r="D261" s="1014"/>
      <c r="E261" s="1014"/>
      <c r="F261" s="1014"/>
      <c r="G261" s="1014"/>
      <c r="H261" s="1014"/>
      <c r="I261" s="1014"/>
      <c r="J261" s="1014"/>
      <c r="K261" s="1014"/>
      <c r="L261" s="1014"/>
      <c r="M261" s="1014"/>
      <c r="N261" s="1014"/>
    </row>
    <row r="262" spans="1:14">
      <c r="A262" s="1014"/>
      <c r="B262" s="1014"/>
      <c r="C262" s="1014"/>
      <c r="D262" s="1014"/>
      <c r="E262" s="1014"/>
      <c r="F262" s="1014"/>
      <c r="G262" s="1014"/>
      <c r="H262" s="1014"/>
      <c r="I262" s="1014"/>
      <c r="J262" s="1014"/>
      <c r="K262" s="1014"/>
      <c r="L262" s="1014"/>
      <c r="M262" s="1014"/>
      <c r="N262" s="1014"/>
    </row>
    <row r="263" spans="1:14">
      <c r="A263" s="1014"/>
      <c r="B263" s="1014"/>
      <c r="C263" s="1014"/>
      <c r="D263" s="1014"/>
      <c r="E263" s="1014"/>
      <c r="F263" s="1014"/>
      <c r="G263" s="1014"/>
      <c r="H263" s="1014"/>
      <c r="I263" s="1014"/>
      <c r="J263" s="1014"/>
      <c r="K263" s="1014"/>
      <c r="L263" s="1014"/>
      <c r="M263" s="1014"/>
      <c r="N263" s="1014"/>
    </row>
    <row r="264" spans="1:14">
      <c r="A264" s="1014"/>
      <c r="B264" s="1014"/>
      <c r="C264" s="1014"/>
      <c r="D264" s="1014"/>
      <c r="E264" s="1014"/>
      <c r="F264" s="1014"/>
      <c r="G264" s="1014"/>
      <c r="H264" s="1014"/>
      <c r="I264" s="1014"/>
      <c r="J264" s="1014"/>
      <c r="K264" s="1014"/>
      <c r="L264" s="1014"/>
      <c r="M264" s="1014"/>
      <c r="N264" s="1014"/>
    </row>
    <row r="265" spans="1:14">
      <c r="A265" s="1014"/>
      <c r="B265" s="1014"/>
      <c r="C265" s="1014"/>
      <c r="D265" s="1014"/>
      <c r="E265" s="1014"/>
      <c r="F265" s="1014"/>
      <c r="G265" s="1014"/>
      <c r="H265" s="1014"/>
      <c r="I265" s="1014"/>
      <c r="J265" s="1014"/>
      <c r="K265" s="1014"/>
      <c r="L265" s="1014"/>
      <c r="M265" s="1014"/>
      <c r="N265" s="1014"/>
    </row>
    <row r="266" spans="1:14">
      <c r="A266" s="1014"/>
      <c r="B266" s="1014"/>
      <c r="C266" s="1014"/>
      <c r="D266" s="1014"/>
      <c r="E266" s="1014"/>
      <c r="F266" s="1014"/>
      <c r="G266" s="1014"/>
      <c r="H266" s="1014"/>
      <c r="I266" s="1014"/>
      <c r="J266" s="1014"/>
      <c r="K266" s="1014"/>
      <c r="L266" s="1014"/>
      <c r="M266" s="1014"/>
      <c r="N266" s="1014"/>
    </row>
    <row r="267" spans="1:14">
      <c r="A267" s="1014"/>
      <c r="B267" s="1014"/>
      <c r="C267" s="1014"/>
      <c r="D267" s="1014"/>
      <c r="E267" s="1014"/>
      <c r="F267" s="1014"/>
      <c r="G267" s="1014"/>
      <c r="H267" s="1014"/>
      <c r="I267" s="1014"/>
      <c r="J267" s="1014"/>
      <c r="K267" s="1014"/>
      <c r="L267" s="1014"/>
      <c r="M267" s="1014"/>
      <c r="N267" s="1014"/>
    </row>
    <row r="268" spans="1:14">
      <c r="A268" s="1014"/>
      <c r="B268" s="1014"/>
      <c r="C268" s="1014"/>
      <c r="D268" s="1014"/>
      <c r="E268" s="1014"/>
      <c r="F268" s="1014"/>
      <c r="G268" s="1014"/>
      <c r="H268" s="1014"/>
      <c r="I268" s="1014"/>
      <c r="J268" s="1014"/>
      <c r="K268" s="1014"/>
      <c r="L268" s="1014"/>
      <c r="M268" s="1014"/>
      <c r="N268" s="1014"/>
    </row>
    <row r="269" spans="1:14">
      <c r="A269" s="1014"/>
      <c r="B269" s="1014"/>
      <c r="C269" s="1014"/>
      <c r="D269" s="1014"/>
      <c r="E269" s="1014"/>
      <c r="F269" s="1014"/>
      <c r="G269" s="1014"/>
      <c r="H269" s="1014"/>
      <c r="I269" s="1014"/>
      <c r="J269" s="1014"/>
      <c r="K269" s="1014"/>
      <c r="L269" s="1014"/>
      <c r="M269" s="1014"/>
      <c r="N269" s="1014"/>
    </row>
    <row r="270" spans="1:14">
      <c r="A270" s="1014"/>
      <c r="B270" s="1014"/>
      <c r="C270" s="1014"/>
      <c r="D270" s="1014"/>
      <c r="E270" s="1014"/>
      <c r="F270" s="1014"/>
      <c r="G270" s="1014"/>
      <c r="H270" s="1014"/>
      <c r="I270" s="1014"/>
      <c r="J270" s="1014"/>
      <c r="K270" s="1014"/>
      <c r="L270" s="1014"/>
      <c r="M270" s="1014"/>
      <c r="N270" s="1014"/>
    </row>
    <row r="271" spans="1:14">
      <c r="A271" s="1014"/>
      <c r="B271" s="1014"/>
      <c r="C271" s="1014"/>
      <c r="D271" s="1014"/>
      <c r="E271" s="1014"/>
      <c r="F271" s="1014"/>
      <c r="G271" s="1014"/>
      <c r="H271" s="1014"/>
      <c r="I271" s="1014"/>
      <c r="J271" s="1014"/>
      <c r="K271" s="1014"/>
      <c r="L271" s="1014"/>
      <c r="M271" s="1014"/>
      <c r="N271" s="1014"/>
    </row>
    <row r="272" spans="1:14">
      <c r="A272" s="1014"/>
      <c r="B272" s="1014"/>
      <c r="C272" s="1014"/>
      <c r="D272" s="1014"/>
      <c r="E272" s="1014"/>
      <c r="F272" s="1014"/>
      <c r="G272" s="1014"/>
      <c r="H272" s="1014"/>
      <c r="I272" s="1014"/>
      <c r="J272" s="1014"/>
      <c r="K272" s="1014"/>
      <c r="L272" s="1014"/>
      <c r="M272" s="1014"/>
      <c r="N272" s="1014"/>
    </row>
    <row r="273" spans="1:14">
      <c r="A273" s="1014"/>
      <c r="B273" s="1014"/>
      <c r="C273" s="1014"/>
      <c r="D273" s="1014"/>
      <c r="E273" s="1014"/>
      <c r="F273" s="1014"/>
      <c r="G273" s="1014"/>
      <c r="H273" s="1014"/>
      <c r="I273" s="1014"/>
      <c r="J273" s="1014"/>
      <c r="K273" s="1014"/>
      <c r="L273" s="1014"/>
      <c r="M273" s="1014"/>
      <c r="N273" s="1014"/>
    </row>
    <row r="274" spans="1:14">
      <c r="A274" s="1014"/>
      <c r="B274" s="1014"/>
      <c r="C274" s="1014"/>
      <c r="D274" s="1014"/>
      <c r="E274" s="1014"/>
      <c r="F274" s="1014"/>
      <c r="G274" s="1014"/>
      <c r="H274" s="1014"/>
      <c r="I274" s="1014"/>
      <c r="J274" s="1014"/>
      <c r="K274" s="1014"/>
      <c r="L274" s="1014"/>
      <c r="M274" s="1014"/>
      <c r="N274" s="1014"/>
    </row>
    <row r="275" spans="1:14">
      <c r="A275" s="1014"/>
      <c r="B275" s="1014"/>
      <c r="C275" s="1014"/>
      <c r="D275" s="1014"/>
      <c r="E275" s="1014"/>
      <c r="F275" s="1014"/>
      <c r="G275" s="1014"/>
      <c r="H275" s="1014"/>
      <c r="I275" s="1014"/>
      <c r="J275" s="1014"/>
      <c r="K275" s="1014"/>
      <c r="L275" s="1014"/>
      <c r="M275" s="1014"/>
      <c r="N275" s="1014"/>
    </row>
    <row r="276" spans="1:14">
      <c r="A276" s="1014"/>
      <c r="B276" s="1014"/>
      <c r="C276" s="1014"/>
      <c r="D276" s="1014"/>
      <c r="E276" s="1014"/>
      <c r="F276" s="1014"/>
      <c r="G276" s="1014"/>
      <c r="H276" s="1014"/>
      <c r="I276" s="1014"/>
      <c r="J276" s="1014"/>
      <c r="K276" s="1014"/>
      <c r="L276" s="1014"/>
      <c r="M276" s="1014"/>
      <c r="N276" s="1014"/>
    </row>
    <row r="277" spans="1:14">
      <c r="A277" s="1014"/>
      <c r="B277" s="1014"/>
      <c r="C277" s="1014"/>
      <c r="D277" s="1014"/>
      <c r="E277" s="1014"/>
      <c r="F277" s="1014"/>
      <c r="G277" s="1014"/>
      <c r="H277" s="1014"/>
      <c r="I277" s="1014"/>
      <c r="J277" s="1014"/>
      <c r="K277" s="1014"/>
      <c r="L277" s="1014"/>
      <c r="M277" s="1014"/>
      <c r="N277" s="1014"/>
    </row>
    <row r="278" spans="1:14">
      <c r="A278" s="1014"/>
      <c r="B278" s="1014"/>
      <c r="C278" s="1014"/>
      <c r="D278" s="1014"/>
      <c r="E278" s="1014"/>
      <c r="F278" s="1014"/>
      <c r="G278" s="1014"/>
      <c r="H278" s="1014"/>
      <c r="I278" s="1014"/>
      <c r="J278" s="1014"/>
      <c r="K278" s="1014"/>
      <c r="L278" s="1014"/>
      <c r="M278" s="1014"/>
      <c r="N278" s="1014"/>
    </row>
    <row r="279" spans="1:14">
      <c r="A279" s="1014"/>
      <c r="B279" s="1014"/>
      <c r="C279" s="1014"/>
      <c r="D279" s="1014"/>
      <c r="E279" s="1014"/>
      <c r="F279" s="1014"/>
      <c r="G279" s="1014"/>
      <c r="H279" s="1014"/>
      <c r="I279" s="1014"/>
      <c r="J279" s="1014"/>
      <c r="K279" s="1014"/>
      <c r="L279" s="1014"/>
      <c r="M279" s="1014"/>
      <c r="N279" s="1014"/>
    </row>
    <row r="280" spans="1:14">
      <c r="A280" s="1014"/>
      <c r="B280" s="1014"/>
      <c r="C280" s="1014"/>
      <c r="D280" s="1014"/>
      <c r="E280" s="1014"/>
      <c r="F280" s="1014"/>
      <c r="G280" s="1014"/>
      <c r="H280" s="1014"/>
      <c r="I280" s="1014"/>
      <c r="J280" s="1014"/>
      <c r="K280" s="1014"/>
      <c r="L280" s="1014"/>
      <c r="M280" s="1014"/>
      <c r="N280" s="1014"/>
    </row>
    <row r="281" spans="1:14">
      <c r="A281" s="1014"/>
      <c r="B281" s="1014"/>
      <c r="C281" s="1014"/>
      <c r="D281" s="1014"/>
      <c r="E281" s="1014"/>
      <c r="F281" s="1014"/>
      <c r="G281" s="1014"/>
      <c r="H281" s="1014"/>
      <c r="I281" s="1014"/>
      <c r="J281" s="1014"/>
      <c r="K281" s="1014"/>
      <c r="L281" s="1014"/>
      <c r="M281" s="1014"/>
      <c r="N281" s="1014"/>
    </row>
    <row r="282" spans="1:14">
      <c r="A282" s="1014"/>
      <c r="B282" s="1014"/>
      <c r="C282" s="1014"/>
      <c r="D282" s="1014"/>
      <c r="E282" s="1014"/>
      <c r="F282" s="1014"/>
      <c r="G282" s="1014"/>
      <c r="H282" s="1014"/>
      <c r="I282" s="1014"/>
      <c r="J282" s="1014"/>
      <c r="K282" s="1014"/>
      <c r="L282" s="1014"/>
      <c r="M282" s="1014"/>
      <c r="N282" s="1014"/>
    </row>
    <row r="283" spans="1:14">
      <c r="A283" s="1014"/>
      <c r="B283" s="1014"/>
      <c r="C283" s="1014"/>
      <c r="D283" s="1014"/>
      <c r="E283" s="1014"/>
      <c r="F283" s="1014"/>
      <c r="G283" s="1014"/>
      <c r="H283" s="1014"/>
      <c r="I283" s="1014"/>
      <c r="J283" s="1014"/>
      <c r="K283" s="1014"/>
      <c r="L283" s="1014"/>
      <c r="M283" s="1014"/>
      <c r="N283" s="1014"/>
    </row>
    <row r="284" spans="1:14">
      <c r="A284" s="1014"/>
      <c r="B284" s="1014"/>
      <c r="C284" s="1014"/>
      <c r="D284" s="1014"/>
      <c r="E284" s="1014"/>
      <c r="F284" s="1014"/>
      <c r="G284" s="1014"/>
      <c r="H284" s="1014"/>
      <c r="I284" s="1014"/>
      <c r="J284" s="1014"/>
      <c r="K284" s="1014"/>
      <c r="L284" s="1014"/>
      <c r="M284" s="1014"/>
      <c r="N284" s="1014"/>
    </row>
    <row r="285" spans="1:14">
      <c r="A285" s="1014"/>
      <c r="B285" s="1014"/>
      <c r="C285" s="1014"/>
      <c r="D285" s="1014"/>
      <c r="E285" s="1014"/>
      <c r="F285" s="1014"/>
      <c r="G285" s="1014"/>
      <c r="H285" s="1014"/>
      <c r="I285" s="1014"/>
      <c r="J285" s="1014"/>
      <c r="K285" s="1014"/>
      <c r="L285" s="1014"/>
      <c r="M285" s="1014"/>
      <c r="N285" s="1014"/>
    </row>
    <row r="286" spans="1:14">
      <c r="A286" s="1014"/>
      <c r="B286" s="1014"/>
      <c r="C286" s="1014"/>
      <c r="D286" s="1014"/>
      <c r="E286" s="1014"/>
      <c r="F286" s="1014"/>
      <c r="G286" s="1014"/>
      <c r="H286" s="1014"/>
      <c r="I286" s="1014"/>
      <c r="J286" s="1014"/>
      <c r="K286" s="1014"/>
      <c r="L286" s="1014"/>
      <c r="M286" s="1014"/>
      <c r="N286" s="1014"/>
    </row>
    <row r="287" spans="1:14">
      <c r="A287" s="1014"/>
      <c r="B287" s="1014"/>
      <c r="C287" s="1014"/>
      <c r="D287" s="1014"/>
      <c r="E287" s="1014"/>
      <c r="F287" s="1014"/>
      <c r="G287" s="1014"/>
      <c r="H287" s="1014"/>
      <c r="I287" s="1014"/>
      <c r="J287" s="1014"/>
      <c r="K287" s="1014"/>
      <c r="L287" s="1014"/>
      <c r="M287" s="1014"/>
      <c r="N287" s="1014"/>
    </row>
    <row r="288" spans="1:14">
      <c r="A288" s="1014"/>
      <c r="B288" s="1014"/>
      <c r="C288" s="1014"/>
      <c r="D288" s="1014"/>
      <c r="E288" s="1014"/>
      <c r="F288" s="1014"/>
      <c r="G288" s="1014"/>
      <c r="H288" s="1014"/>
      <c r="I288" s="1014"/>
      <c r="J288" s="1014"/>
      <c r="K288" s="1014"/>
      <c r="L288" s="1014"/>
      <c r="M288" s="1014"/>
      <c r="N288" s="1014"/>
    </row>
    <row r="289" spans="1:14">
      <c r="A289" s="1014"/>
      <c r="B289" s="1014"/>
      <c r="C289" s="1014"/>
      <c r="D289" s="1014"/>
      <c r="E289" s="1014"/>
      <c r="F289" s="1014"/>
      <c r="G289" s="1014"/>
      <c r="H289" s="1014"/>
      <c r="I289" s="1014"/>
      <c r="J289" s="1014"/>
      <c r="K289" s="1014"/>
      <c r="L289" s="1014"/>
      <c r="M289" s="1014"/>
      <c r="N289" s="1014"/>
    </row>
    <row r="290" spans="1:14">
      <c r="A290" s="1014"/>
      <c r="B290" s="1014"/>
      <c r="C290" s="1014"/>
      <c r="D290" s="1014"/>
      <c r="E290" s="1014"/>
      <c r="F290" s="1014"/>
      <c r="G290" s="1014"/>
      <c r="H290" s="1014"/>
      <c r="I290" s="1014"/>
      <c r="J290" s="1014"/>
      <c r="K290" s="1014"/>
      <c r="L290" s="1014"/>
      <c r="M290" s="1014"/>
      <c r="N290" s="1014"/>
    </row>
    <row r="291" spans="1:14">
      <c r="A291" s="1014"/>
      <c r="B291" s="1014"/>
      <c r="C291" s="1014"/>
      <c r="D291" s="1014"/>
      <c r="E291" s="1014"/>
      <c r="F291" s="1014"/>
      <c r="G291" s="1014"/>
      <c r="H291" s="1014"/>
      <c r="I291" s="1014"/>
      <c r="J291" s="1014"/>
      <c r="K291" s="1014"/>
      <c r="L291" s="1014"/>
      <c r="M291" s="1014"/>
      <c r="N291" s="1014"/>
    </row>
    <row r="292" spans="1:14">
      <c r="A292" s="1014"/>
      <c r="B292" s="1014"/>
      <c r="C292" s="1014"/>
      <c r="D292" s="1014"/>
      <c r="E292" s="1014"/>
      <c r="F292" s="1014"/>
      <c r="G292" s="1014"/>
      <c r="H292" s="1014"/>
      <c r="I292" s="1014"/>
      <c r="J292" s="1014"/>
      <c r="K292" s="1014"/>
      <c r="L292" s="1014"/>
      <c r="M292" s="1014"/>
      <c r="N292" s="1014"/>
    </row>
    <row r="293" spans="1:14">
      <c r="A293" s="1014"/>
      <c r="B293" s="1014"/>
      <c r="C293" s="1014"/>
      <c r="D293" s="1014"/>
      <c r="E293" s="1014"/>
      <c r="F293" s="1014"/>
      <c r="G293" s="1014"/>
      <c r="H293" s="1014"/>
      <c r="I293" s="1014"/>
      <c r="J293" s="1014"/>
      <c r="K293" s="1014"/>
      <c r="L293" s="1014"/>
      <c r="M293" s="1014"/>
      <c r="N293" s="1014"/>
    </row>
    <row r="294" spans="1:14">
      <c r="A294" s="1014"/>
      <c r="B294" s="1014"/>
      <c r="C294" s="1014"/>
      <c r="D294" s="1014"/>
      <c r="E294" s="1014"/>
      <c r="F294" s="1014"/>
      <c r="G294" s="1014"/>
      <c r="H294" s="1014"/>
      <c r="I294" s="1014"/>
      <c r="J294" s="1014"/>
      <c r="K294" s="1014"/>
      <c r="L294" s="1014"/>
      <c r="M294" s="1014"/>
      <c r="N294" s="1014"/>
    </row>
    <row r="295" spans="1:14">
      <c r="A295" s="1014"/>
      <c r="B295" s="1014"/>
      <c r="C295" s="1014"/>
      <c r="D295" s="1014"/>
      <c r="E295" s="1014"/>
      <c r="F295" s="1014"/>
      <c r="G295" s="1014"/>
      <c r="H295" s="1014"/>
      <c r="I295" s="1014"/>
      <c r="J295" s="1014"/>
      <c r="K295" s="1014"/>
      <c r="L295" s="1014"/>
      <c r="M295" s="1014"/>
      <c r="N295" s="1014"/>
    </row>
    <row r="296" spans="1:14">
      <c r="A296" s="1014"/>
      <c r="B296" s="1014"/>
      <c r="C296" s="1014"/>
      <c r="D296" s="1014"/>
      <c r="E296" s="1014"/>
      <c r="F296" s="1014"/>
      <c r="G296" s="1014"/>
      <c r="H296" s="1014"/>
      <c r="I296" s="1014"/>
      <c r="J296" s="1014"/>
      <c r="K296" s="1014"/>
      <c r="L296" s="1014"/>
      <c r="M296" s="1014"/>
      <c r="N296" s="1014"/>
    </row>
    <row r="297" spans="1:14">
      <c r="A297" s="1014"/>
      <c r="B297" s="1014"/>
      <c r="C297" s="1014"/>
      <c r="D297" s="1014"/>
      <c r="E297" s="1014"/>
      <c r="F297" s="1014"/>
      <c r="G297" s="1014"/>
      <c r="H297" s="1014"/>
      <c r="I297" s="1014"/>
      <c r="J297" s="1014"/>
      <c r="K297" s="1014"/>
      <c r="L297" s="1014"/>
      <c r="M297" s="1014"/>
      <c r="N297" s="1014"/>
    </row>
    <row r="298" spans="1:14">
      <c r="A298" s="1014"/>
      <c r="B298" s="1014"/>
      <c r="C298" s="1014"/>
      <c r="D298" s="1014"/>
      <c r="E298" s="1014"/>
      <c r="F298" s="1014"/>
      <c r="G298" s="1014"/>
      <c r="H298" s="1014"/>
      <c r="I298" s="1014"/>
      <c r="J298" s="1014"/>
      <c r="K298" s="1014"/>
      <c r="L298" s="1014"/>
      <c r="M298" s="1014"/>
      <c r="N298" s="1014"/>
    </row>
    <row r="299" spans="1:14">
      <c r="A299" s="1014"/>
      <c r="B299" s="1014"/>
      <c r="C299" s="1014"/>
      <c r="D299" s="1014"/>
      <c r="E299" s="1014"/>
      <c r="F299" s="1014"/>
      <c r="G299" s="1014"/>
      <c r="H299" s="1014"/>
      <c r="I299" s="1014"/>
      <c r="J299" s="1014"/>
      <c r="K299" s="1014"/>
      <c r="L299" s="1014"/>
      <c r="M299" s="1014"/>
      <c r="N299" s="1014"/>
    </row>
    <row r="300" spans="1:14">
      <c r="A300" s="1014"/>
      <c r="B300" s="1014"/>
      <c r="C300" s="1014"/>
      <c r="D300" s="1014"/>
      <c r="E300" s="1014"/>
      <c r="F300" s="1014"/>
      <c r="G300" s="1014"/>
      <c r="H300" s="1014"/>
      <c r="I300" s="1014"/>
      <c r="J300" s="1014"/>
      <c r="K300" s="1014"/>
      <c r="L300" s="1014"/>
      <c r="M300" s="1014"/>
      <c r="N300" s="1014"/>
    </row>
    <row r="301" spans="1:14">
      <c r="A301" s="1014"/>
      <c r="B301" s="1014"/>
      <c r="C301" s="1014"/>
      <c r="D301" s="1014"/>
      <c r="E301" s="1014"/>
      <c r="F301" s="1014"/>
      <c r="G301" s="1014"/>
      <c r="H301" s="1014"/>
      <c r="I301" s="1014"/>
      <c r="J301" s="1014"/>
      <c r="K301" s="1014"/>
      <c r="L301" s="1014"/>
      <c r="M301" s="1014"/>
      <c r="N301" s="1014"/>
    </row>
    <row r="302" spans="1:14">
      <c r="A302" s="1014"/>
      <c r="B302" s="1014"/>
      <c r="C302" s="1014"/>
      <c r="D302" s="1014"/>
      <c r="E302" s="1014"/>
      <c r="F302" s="1014"/>
      <c r="G302" s="1014"/>
      <c r="H302" s="1014"/>
      <c r="I302" s="1014"/>
      <c r="J302" s="1014"/>
      <c r="K302" s="1014"/>
      <c r="L302" s="1014"/>
      <c r="M302" s="1014"/>
      <c r="N302" s="1014"/>
    </row>
    <row r="303" spans="1:14">
      <c r="A303" s="1014"/>
      <c r="B303" s="1014"/>
      <c r="C303" s="1014"/>
      <c r="D303" s="1014"/>
      <c r="E303" s="1014"/>
      <c r="F303" s="1014"/>
      <c r="G303" s="1014"/>
      <c r="H303" s="1014"/>
      <c r="I303" s="1014"/>
      <c r="J303" s="1014"/>
      <c r="K303" s="1014"/>
      <c r="L303" s="1014"/>
      <c r="M303" s="1014"/>
      <c r="N303" s="1014"/>
    </row>
    <row r="304" spans="1:14">
      <c r="A304" s="1014"/>
      <c r="B304" s="1014"/>
      <c r="C304" s="1014"/>
      <c r="D304" s="1014"/>
      <c r="E304" s="1014"/>
      <c r="F304" s="1014"/>
      <c r="G304" s="1014"/>
      <c r="H304" s="1014"/>
      <c r="I304" s="1014"/>
      <c r="J304" s="1014"/>
      <c r="K304" s="1014"/>
      <c r="L304" s="1014"/>
      <c r="M304" s="1014"/>
      <c r="N304" s="1014"/>
    </row>
    <row r="305" spans="1:14">
      <c r="A305" s="1014"/>
      <c r="B305" s="1014"/>
      <c r="C305" s="1014"/>
      <c r="D305" s="1014"/>
      <c r="E305" s="1014"/>
      <c r="F305" s="1014"/>
      <c r="G305" s="1014"/>
      <c r="H305" s="1014"/>
      <c r="I305" s="1014"/>
      <c r="J305" s="1014"/>
      <c r="K305" s="1014"/>
      <c r="L305" s="1014"/>
      <c r="M305" s="1014"/>
      <c r="N305" s="1014"/>
    </row>
    <row r="306" spans="1:14">
      <c r="A306" s="1014"/>
      <c r="B306" s="1014"/>
      <c r="C306" s="1014"/>
      <c r="D306" s="1014"/>
      <c r="E306" s="1014"/>
      <c r="F306" s="1014"/>
      <c r="G306" s="1014"/>
      <c r="H306" s="1014"/>
      <c r="I306" s="1014"/>
      <c r="J306" s="1014"/>
      <c r="K306" s="1014"/>
      <c r="L306" s="1014"/>
      <c r="M306" s="1014"/>
      <c r="N306" s="1014"/>
    </row>
    <row r="307" spans="1:14">
      <c r="A307" s="1014"/>
      <c r="B307" s="1014"/>
      <c r="C307" s="1014"/>
      <c r="D307" s="1014"/>
      <c r="E307" s="1014"/>
      <c r="F307" s="1014"/>
      <c r="G307" s="1014"/>
      <c r="H307" s="1014"/>
      <c r="I307" s="1014"/>
      <c r="J307" s="1014"/>
      <c r="K307" s="1014"/>
      <c r="L307" s="1014"/>
      <c r="M307" s="1014"/>
      <c r="N307" s="1014"/>
    </row>
    <row r="308" spans="1:14">
      <c r="A308" s="1014"/>
      <c r="B308" s="1014"/>
      <c r="C308" s="1014"/>
      <c r="D308" s="1014"/>
      <c r="E308" s="1014"/>
      <c r="F308" s="1014"/>
      <c r="G308" s="1014"/>
      <c r="H308" s="1014"/>
      <c r="I308" s="1014"/>
      <c r="J308" s="1014"/>
      <c r="K308" s="1014"/>
      <c r="L308" s="1014"/>
      <c r="M308" s="1014"/>
      <c r="N308" s="1014"/>
    </row>
    <row r="309" spans="1:14">
      <c r="A309" s="1014"/>
      <c r="B309" s="1014"/>
      <c r="C309" s="1014"/>
      <c r="D309" s="1014"/>
      <c r="E309" s="1014"/>
      <c r="F309" s="1014"/>
      <c r="G309" s="1014"/>
      <c r="H309" s="1014"/>
      <c r="I309" s="1014"/>
      <c r="J309" s="1014"/>
      <c r="K309" s="1014"/>
      <c r="L309" s="1014"/>
      <c r="M309" s="1014"/>
      <c r="N309" s="1014"/>
    </row>
    <row r="310" spans="1:14">
      <c r="A310" s="1014"/>
      <c r="B310" s="1014"/>
      <c r="C310" s="1014"/>
      <c r="D310" s="1014"/>
      <c r="E310" s="1014"/>
      <c r="F310" s="1014"/>
      <c r="G310" s="1014"/>
      <c r="H310" s="1014"/>
      <c r="I310" s="1014"/>
      <c r="J310" s="1014"/>
      <c r="K310" s="1014"/>
      <c r="L310" s="1014"/>
      <c r="M310" s="1014"/>
      <c r="N310" s="1014"/>
    </row>
    <row r="311" spans="1:14">
      <c r="A311" s="1014"/>
      <c r="B311" s="1014"/>
      <c r="C311" s="1014"/>
      <c r="D311" s="1014"/>
      <c r="E311" s="1014"/>
      <c r="F311" s="1014"/>
      <c r="G311" s="1014"/>
      <c r="H311" s="1014"/>
      <c r="I311" s="1014"/>
      <c r="J311" s="1014"/>
      <c r="K311" s="1014"/>
      <c r="L311" s="1014"/>
      <c r="M311" s="1014"/>
      <c r="N311" s="1014"/>
    </row>
    <row r="312" spans="1:14">
      <c r="A312" s="1014"/>
      <c r="B312" s="1014"/>
      <c r="C312" s="1014"/>
      <c r="D312" s="1014"/>
      <c r="E312" s="1014"/>
      <c r="F312" s="1014"/>
      <c r="G312" s="1014"/>
      <c r="H312" s="1014"/>
      <c r="I312" s="1014"/>
      <c r="J312" s="1014"/>
      <c r="K312" s="1014"/>
      <c r="L312" s="1014"/>
      <c r="M312" s="1014"/>
      <c r="N312" s="1014"/>
    </row>
    <row r="313" spans="1:14">
      <c r="A313" s="1014"/>
      <c r="B313" s="1014"/>
      <c r="C313" s="1014"/>
      <c r="D313" s="1014"/>
      <c r="E313" s="1014"/>
      <c r="F313" s="1014"/>
      <c r="G313" s="1014"/>
      <c r="H313" s="1014"/>
      <c r="I313" s="1014"/>
      <c r="J313" s="1014"/>
      <c r="K313" s="1014"/>
      <c r="L313" s="1014"/>
      <c r="M313" s="1014"/>
      <c r="N313" s="1014"/>
    </row>
    <row r="314" spans="1:14">
      <c r="A314" s="1014"/>
      <c r="B314" s="1014"/>
      <c r="C314" s="1014"/>
      <c r="D314" s="1014"/>
      <c r="E314" s="1014"/>
      <c r="F314" s="1014"/>
      <c r="G314" s="1014"/>
      <c r="H314" s="1014"/>
      <c r="I314" s="1014"/>
      <c r="J314" s="1014"/>
      <c r="K314" s="1014"/>
      <c r="L314" s="1014"/>
      <c r="M314" s="1014"/>
      <c r="N314" s="1014"/>
    </row>
    <row r="315" spans="1:14">
      <c r="A315" s="1014"/>
      <c r="B315" s="1014"/>
      <c r="C315" s="1014"/>
      <c r="D315" s="1014"/>
      <c r="E315" s="1014"/>
      <c r="F315" s="1014"/>
      <c r="G315" s="1014"/>
      <c r="H315" s="1014"/>
      <c r="I315" s="1014"/>
      <c r="J315" s="1014"/>
      <c r="K315" s="1014"/>
      <c r="L315" s="1014"/>
      <c r="M315" s="1014"/>
      <c r="N315" s="1014"/>
    </row>
    <row r="316" spans="1:14">
      <c r="A316" s="1014"/>
      <c r="B316" s="1014"/>
      <c r="C316" s="1014"/>
      <c r="D316" s="1014"/>
      <c r="E316" s="1014"/>
      <c r="F316" s="1014"/>
      <c r="G316" s="1014"/>
      <c r="H316" s="1014"/>
      <c r="I316" s="1014"/>
      <c r="J316" s="1014"/>
      <c r="K316" s="1014"/>
      <c r="L316" s="1014"/>
      <c r="M316" s="1014"/>
      <c r="N316" s="1014"/>
    </row>
    <row r="317" spans="1:14">
      <c r="A317" s="1014"/>
      <c r="B317" s="1014"/>
      <c r="C317" s="1014"/>
      <c r="D317" s="1014"/>
      <c r="E317" s="1014"/>
      <c r="F317" s="1014"/>
      <c r="G317" s="1014"/>
      <c r="H317" s="1014"/>
      <c r="I317" s="1014"/>
      <c r="J317" s="1014"/>
      <c r="K317" s="1014"/>
      <c r="L317" s="1014"/>
      <c r="M317" s="1014"/>
      <c r="N317" s="1014"/>
    </row>
    <row r="318" spans="1:14">
      <c r="A318" s="1014"/>
      <c r="B318" s="1014"/>
      <c r="C318" s="1014"/>
      <c r="D318" s="1014"/>
      <c r="E318" s="1014"/>
      <c r="F318" s="1014"/>
      <c r="G318" s="1014"/>
      <c r="H318" s="1014"/>
      <c r="I318" s="1014"/>
      <c r="J318" s="1014"/>
      <c r="K318" s="1014"/>
      <c r="L318" s="1014"/>
      <c r="M318" s="1014"/>
      <c r="N318" s="1014"/>
    </row>
    <row r="319" spans="1:14">
      <c r="A319" s="1014"/>
      <c r="B319" s="1014"/>
      <c r="C319" s="1014"/>
      <c r="D319" s="1014"/>
      <c r="E319" s="1014"/>
      <c r="F319" s="1014"/>
      <c r="G319" s="1014"/>
      <c r="H319" s="1014"/>
      <c r="I319" s="1014"/>
      <c r="J319" s="1014"/>
      <c r="K319" s="1014"/>
      <c r="L319" s="1014"/>
      <c r="M319" s="1014"/>
      <c r="N319" s="1014"/>
    </row>
    <row r="320" spans="1:14">
      <c r="A320" s="1014"/>
      <c r="B320" s="1014"/>
      <c r="C320" s="1014"/>
      <c r="D320" s="1014"/>
      <c r="E320" s="1014"/>
      <c r="F320" s="1014"/>
      <c r="G320" s="1014"/>
      <c r="H320" s="1014"/>
      <c r="I320" s="1014"/>
      <c r="J320" s="1014"/>
      <c r="K320" s="1014"/>
      <c r="L320" s="1014"/>
      <c r="M320" s="1014"/>
      <c r="N320" s="1014"/>
    </row>
    <row r="321" spans="1:14">
      <c r="A321" s="1014"/>
      <c r="B321" s="1014"/>
      <c r="C321" s="1014"/>
      <c r="D321" s="1014"/>
      <c r="E321" s="1014"/>
      <c r="F321" s="1014"/>
      <c r="G321" s="1014"/>
      <c r="H321" s="1014"/>
      <c r="I321" s="1014"/>
      <c r="J321" s="1014"/>
      <c r="K321" s="1014"/>
      <c r="L321" s="1014"/>
      <c r="M321" s="1014"/>
      <c r="N321" s="1014"/>
    </row>
    <row r="322" spans="1:14">
      <c r="A322" s="1014"/>
      <c r="B322" s="1014"/>
      <c r="C322" s="1014"/>
      <c r="D322" s="1014"/>
      <c r="E322" s="1014"/>
      <c r="F322" s="1014"/>
      <c r="G322" s="1014"/>
      <c r="H322" s="1014"/>
      <c r="I322" s="1014"/>
      <c r="J322" s="1014"/>
      <c r="K322" s="1014"/>
      <c r="L322" s="1014"/>
      <c r="M322" s="1014"/>
      <c r="N322" s="1014"/>
    </row>
    <row r="323" spans="1:14">
      <c r="A323" s="1014"/>
      <c r="B323" s="1014"/>
      <c r="C323" s="1014"/>
      <c r="D323" s="1014"/>
      <c r="E323" s="1014"/>
      <c r="F323" s="1014"/>
      <c r="G323" s="1014"/>
      <c r="H323" s="1014"/>
      <c r="I323" s="1014"/>
      <c r="J323" s="1014"/>
      <c r="K323" s="1014"/>
      <c r="L323" s="1014"/>
      <c r="M323" s="1014"/>
      <c r="N323" s="1014"/>
    </row>
    <row r="324" spans="1:14">
      <c r="A324" s="1014"/>
      <c r="B324" s="1014"/>
      <c r="C324" s="1014"/>
      <c r="D324" s="1014"/>
      <c r="E324" s="1014"/>
      <c r="F324" s="1014"/>
      <c r="G324" s="1014"/>
      <c r="H324" s="1014"/>
      <c r="I324" s="1014"/>
      <c r="J324" s="1014"/>
      <c r="K324" s="1014"/>
      <c r="L324" s="1014"/>
      <c r="M324" s="1014"/>
      <c r="N324" s="1014"/>
    </row>
    <row r="325" spans="1:14">
      <c r="A325" s="1014"/>
      <c r="B325" s="1014"/>
      <c r="C325" s="1014"/>
      <c r="D325" s="1014"/>
      <c r="E325" s="1014"/>
      <c r="F325" s="1014"/>
      <c r="G325" s="1014"/>
      <c r="H325" s="1014"/>
      <c r="I325" s="1014"/>
      <c r="J325" s="1014"/>
      <c r="K325" s="1014"/>
      <c r="L325" s="1014"/>
      <c r="M325" s="1014"/>
      <c r="N325" s="1014"/>
    </row>
    <row r="326" spans="1:14">
      <c r="A326" s="1014"/>
      <c r="B326" s="1014"/>
      <c r="C326" s="1014"/>
      <c r="D326" s="1014"/>
      <c r="E326" s="1014"/>
      <c r="F326" s="1014"/>
      <c r="G326" s="1014"/>
      <c r="H326" s="1014"/>
      <c r="I326" s="1014"/>
      <c r="J326" s="1014"/>
      <c r="K326" s="1014"/>
      <c r="L326" s="1014"/>
      <c r="M326" s="1014"/>
      <c r="N326" s="1014"/>
    </row>
    <row r="327" spans="1:14">
      <c r="A327" s="1014"/>
      <c r="B327" s="1014"/>
      <c r="C327" s="1014"/>
      <c r="D327" s="1014"/>
      <c r="E327" s="1014"/>
      <c r="F327" s="1014"/>
      <c r="G327" s="1014"/>
      <c r="H327" s="1014"/>
      <c r="I327" s="1014"/>
      <c r="J327" s="1014"/>
      <c r="K327" s="1014"/>
      <c r="L327" s="1014"/>
      <c r="M327" s="1014"/>
      <c r="N327" s="1014"/>
    </row>
    <row r="328" spans="1:14">
      <c r="A328" s="1014"/>
      <c r="B328" s="1014"/>
      <c r="C328" s="1014"/>
      <c r="D328" s="1014"/>
      <c r="E328" s="1014"/>
      <c r="F328" s="1014"/>
      <c r="G328" s="1014"/>
      <c r="H328" s="1014"/>
      <c r="I328" s="1014"/>
      <c r="J328" s="1014"/>
      <c r="K328" s="1014"/>
      <c r="L328" s="1014"/>
      <c r="M328" s="1014"/>
      <c r="N328" s="1014"/>
    </row>
    <row r="329" spans="1:14">
      <c r="A329" s="1014"/>
      <c r="B329" s="1014"/>
      <c r="C329" s="1014"/>
      <c r="D329" s="1014"/>
      <c r="E329" s="1014"/>
      <c r="F329" s="1014"/>
      <c r="G329" s="1014"/>
      <c r="H329" s="1014"/>
      <c r="I329" s="1014"/>
      <c r="J329" s="1014"/>
      <c r="K329" s="1014"/>
      <c r="L329" s="1014"/>
      <c r="M329" s="1014"/>
      <c r="N329" s="1014"/>
    </row>
    <row r="330" spans="1:14">
      <c r="A330" s="1014"/>
      <c r="B330" s="1014"/>
      <c r="C330" s="1014"/>
      <c r="D330" s="1014"/>
      <c r="E330" s="1014"/>
      <c r="F330" s="1014"/>
      <c r="G330" s="1014"/>
      <c r="H330" s="1014"/>
      <c r="I330" s="1014"/>
      <c r="J330" s="1014"/>
      <c r="K330" s="1014"/>
      <c r="L330" s="1014"/>
      <c r="M330" s="1014"/>
      <c r="N330" s="1014"/>
    </row>
    <row r="331" spans="1:14">
      <c r="A331" s="1014"/>
      <c r="B331" s="1014"/>
      <c r="C331" s="1014"/>
      <c r="D331" s="1014"/>
      <c r="E331" s="1014"/>
      <c r="F331" s="1014"/>
      <c r="G331" s="1014"/>
      <c r="H331" s="1014"/>
      <c r="I331" s="1014"/>
      <c r="J331" s="1014"/>
      <c r="K331" s="1014"/>
      <c r="L331" s="1014"/>
      <c r="M331" s="1014"/>
      <c r="N331" s="1014"/>
    </row>
    <row r="332" spans="1:14">
      <c r="A332" s="1014"/>
      <c r="B332" s="1014"/>
      <c r="C332" s="1014"/>
      <c r="D332" s="1014"/>
      <c r="E332" s="1014"/>
      <c r="F332" s="1014"/>
      <c r="G332" s="1014"/>
      <c r="H332" s="1014"/>
      <c r="I332" s="1014"/>
      <c r="J332" s="1014"/>
      <c r="K332" s="1014"/>
      <c r="L332" s="1014"/>
      <c r="M332" s="1014"/>
      <c r="N332" s="1014"/>
    </row>
    <row r="333" spans="1:14">
      <c r="A333" s="1014"/>
      <c r="B333" s="1014"/>
      <c r="C333" s="1014"/>
      <c r="D333" s="1014"/>
      <c r="E333" s="1014"/>
      <c r="F333" s="1014"/>
      <c r="G333" s="1014"/>
      <c r="H333" s="1014"/>
      <c r="I333" s="1014"/>
      <c r="J333" s="1014"/>
      <c r="K333" s="1014"/>
      <c r="L333" s="1014"/>
      <c r="M333" s="1014"/>
      <c r="N333" s="1014"/>
    </row>
    <row r="334" spans="1:14">
      <c r="A334" s="1014"/>
      <c r="B334" s="1014"/>
      <c r="C334" s="1014"/>
      <c r="D334" s="1014"/>
      <c r="E334" s="1014"/>
      <c r="F334" s="1014"/>
      <c r="G334" s="1014"/>
      <c r="H334" s="1014"/>
      <c r="I334" s="1014"/>
      <c r="J334" s="1014"/>
      <c r="K334" s="1014"/>
      <c r="L334" s="1014"/>
      <c r="M334" s="1014"/>
      <c r="N334" s="1014"/>
    </row>
    <row r="335" spans="1:14">
      <c r="A335" s="1014"/>
      <c r="B335" s="1014"/>
      <c r="C335" s="1014"/>
      <c r="D335" s="1014"/>
      <c r="E335" s="1014"/>
      <c r="F335" s="1014"/>
      <c r="G335" s="1014"/>
      <c r="H335" s="1014"/>
      <c r="I335" s="1014"/>
      <c r="J335" s="1014"/>
      <c r="K335" s="1014"/>
      <c r="L335" s="1014"/>
      <c r="M335" s="1014"/>
      <c r="N335" s="1014"/>
    </row>
    <row r="336" spans="1:14">
      <c r="A336" s="1014"/>
      <c r="B336" s="1014"/>
      <c r="C336" s="1014"/>
      <c r="D336" s="1014"/>
      <c r="E336" s="1014"/>
      <c r="F336" s="1014"/>
      <c r="G336" s="1014"/>
      <c r="H336" s="1014"/>
      <c r="I336" s="1014"/>
      <c r="J336" s="1014"/>
      <c r="K336" s="1014"/>
      <c r="L336" s="1014"/>
      <c r="M336" s="1014"/>
      <c r="N336" s="1014"/>
    </row>
    <row r="337" spans="1:14">
      <c r="A337" s="1014"/>
      <c r="B337" s="1014"/>
      <c r="C337" s="1014"/>
      <c r="D337" s="1014"/>
      <c r="E337" s="1014"/>
      <c r="F337" s="1014"/>
      <c r="G337" s="1014"/>
      <c r="H337" s="1014"/>
      <c r="I337" s="1014"/>
      <c r="J337" s="1014"/>
      <c r="K337" s="1014"/>
      <c r="L337" s="1014"/>
      <c r="M337" s="1014"/>
      <c r="N337" s="1014"/>
    </row>
    <row r="338" spans="1:14">
      <c r="A338" s="1014"/>
      <c r="B338" s="1014"/>
      <c r="C338" s="1014"/>
      <c r="D338" s="1014"/>
      <c r="E338" s="1014"/>
      <c r="F338" s="1014"/>
      <c r="G338" s="1014"/>
      <c r="H338" s="1014"/>
      <c r="I338" s="1014"/>
      <c r="J338" s="1014"/>
      <c r="K338" s="1014"/>
      <c r="L338" s="1014"/>
      <c r="M338" s="1014"/>
      <c r="N338" s="1014"/>
    </row>
    <row r="339" spans="1:14">
      <c r="A339" s="1014"/>
      <c r="B339" s="1014"/>
      <c r="C339" s="1014"/>
      <c r="D339" s="1014"/>
      <c r="E339" s="1014"/>
      <c r="F339" s="1014"/>
      <c r="G339" s="1014"/>
      <c r="H339" s="1014"/>
      <c r="I339" s="1014"/>
      <c r="J339" s="1014"/>
      <c r="K339" s="1014"/>
      <c r="L339" s="1014"/>
      <c r="M339" s="1014"/>
      <c r="N339" s="1014"/>
    </row>
    <row r="340" spans="1:14">
      <c r="A340" s="1014"/>
      <c r="B340" s="1014"/>
      <c r="C340" s="1014"/>
      <c r="D340" s="1014"/>
      <c r="E340" s="1014"/>
      <c r="F340" s="1014"/>
      <c r="G340" s="1014"/>
      <c r="H340" s="1014"/>
      <c r="I340" s="1014"/>
      <c r="J340" s="1014"/>
      <c r="K340" s="1014"/>
      <c r="L340" s="1014"/>
      <c r="M340" s="1014"/>
      <c r="N340" s="1014"/>
    </row>
    <row r="341" spans="1:14">
      <c r="A341" s="1014"/>
      <c r="B341" s="1014"/>
      <c r="C341" s="1014"/>
      <c r="D341" s="1014"/>
      <c r="E341" s="1014"/>
      <c r="F341" s="1014"/>
      <c r="G341" s="1014"/>
      <c r="H341" s="1014"/>
      <c r="I341" s="1014"/>
      <c r="J341" s="1014"/>
      <c r="K341" s="1014"/>
      <c r="L341" s="1014"/>
      <c r="M341" s="1014"/>
      <c r="N341" s="1014"/>
    </row>
    <row r="342" spans="1:14">
      <c r="A342" s="1014"/>
      <c r="B342" s="1014"/>
      <c r="C342" s="1014"/>
      <c r="D342" s="1014"/>
      <c r="E342" s="1014"/>
      <c r="F342" s="1014"/>
      <c r="G342" s="1014"/>
      <c r="H342" s="1014"/>
      <c r="I342" s="1014"/>
      <c r="J342" s="1014"/>
      <c r="K342" s="1014"/>
      <c r="L342" s="1014"/>
      <c r="M342" s="1014"/>
      <c r="N342" s="1014"/>
    </row>
    <row r="343" spans="1:14">
      <c r="A343" s="1014"/>
      <c r="B343" s="1014"/>
      <c r="C343" s="1014"/>
      <c r="D343" s="1014"/>
      <c r="E343" s="1014"/>
      <c r="F343" s="1014"/>
      <c r="G343" s="1014"/>
      <c r="H343" s="1014"/>
      <c r="I343" s="1014"/>
      <c r="J343" s="1014"/>
      <c r="K343" s="1014"/>
      <c r="L343" s="1014"/>
      <c r="M343" s="1014"/>
      <c r="N343" s="1014"/>
    </row>
    <row r="344" spans="1:14">
      <c r="A344" s="1014"/>
      <c r="B344" s="1014"/>
      <c r="C344" s="1014"/>
      <c r="D344" s="1014"/>
      <c r="E344" s="1014"/>
      <c r="F344" s="1014"/>
      <c r="G344" s="1014"/>
      <c r="H344" s="1014"/>
      <c r="I344" s="1014"/>
      <c r="J344" s="1014"/>
      <c r="K344" s="1014"/>
      <c r="L344" s="1014"/>
      <c r="M344" s="1014"/>
      <c r="N344" s="1014"/>
    </row>
    <row r="345" spans="1:14">
      <c r="A345" s="1014"/>
      <c r="B345" s="1014"/>
      <c r="C345" s="1014"/>
      <c r="D345" s="1014"/>
      <c r="E345" s="1014"/>
      <c r="F345" s="1014"/>
      <c r="G345" s="1014"/>
      <c r="H345" s="1014"/>
      <c r="I345" s="1014"/>
      <c r="J345" s="1014"/>
      <c r="K345" s="1014"/>
      <c r="L345" s="1014"/>
      <c r="M345" s="1014"/>
      <c r="N345" s="1014"/>
    </row>
    <row r="346" spans="1:14">
      <c r="A346" s="1014"/>
      <c r="B346" s="1014"/>
      <c r="C346" s="1014"/>
      <c r="D346" s="1014"/>
      <c r="E346" s="1014"/>
      <c r="F346" s="1014"/>
      <c r="G346" s="1014"/>
      <c r="H346" s="1014"/>
      <c r="I346" s="1014"/>
      <c r="J346" s="1014"/>
      <c r="K346" s="1014"/>
      <c r="L346" s="1014"/>
      <c r="M346" s="1014"/>
      <c r="N346" s="1014"/>
    </row>
    <row r="347" spans="1:14">
      <c r="A347" s="1014"/>
      <c r="B347" s="1014"/>
      <c r="C347" s="1014"/>
      <c r="D347" s="1014"/>
      <c r="E347" s="1014"/>
      <c r="F347" s="1014"/>
      <c r="G347" s="1014"/>
      <c r="H347" s="1014"/>
      <c r="I347" s="1014"/>
      <c r="J347" s="1014"/>
      <c r="K347" s="1014"/>
      <c r="L347" s="1014"/>
      <c r="M347" s="1014"/>
      <c r="N347" s="1014"/>
    </row>
    <row r="348" spans="1:14">
      <c r="A348" s="1014"/>
      <c r="B348" s="1014"/>
      <c r="C348" s="1014"/>
      <c r="D348" s="1014"/>
      <c r="E348" s="1014"/>
      <c r="F348" s="1014"/>
      <c r="G348" s="1014"/>
      <c r="H348" s="1014"/>
      <c r="I348" s="1014"/>
      <c r="J348" s="1014"/>
      <c r="K348" s="1014"/>
      <c r="L348" s="1014"/>
      <c r="M348" s="1014"/>
      <c r="N348" s="1014"/>
    </row>
    <row r="349" spans="1:14">
      <c r="A349" s="1014"/>
      <c r="B349" s="1014"/>
      <c r="C349" s="1014"/>
      <c r="D349" s="1014"/>
      <c r="E349" s="1014"/>
      <c r="F349" s="1014"/>
      <c r="G349" s="1014"/>
      <c r="H349" s="1014"/>
      <c r="I349" s="1014"/>
      <c r="J349" s="1014"/>
      <c r="K349" s="1014"/>
      <c r="L349" s="1014"/>
      <c r="M349" s="1014"/>
      <c r="N349" s="1014"/>
    </row>
    <row r="350" spans="1:14">
      <c r="A350" s="1014"/>
      <c r="B350" s="1014"/>
      <c r="C350" s="1014"/>
      <c r="D350" s="1014"/>
      <c r="E350" s="1014"/>
      <c r="F350" s="1014"/>
      <c r="G350" s="1014"/>
      <c r="H350" s="1014"/>
      <c r="I350" s="1014"/>
      <c r="J350" s="1014"/>
      <c r="K350" s="1014"/>
      <c r="L350" s="1014"/>
      <c r="M350" s="1014"/>
      <c r="N350" s="1014"/>
    </row>
    <row r="351" spans="1:14">
      <c r="A351" s="1014"/>
      <c r="B351" s="1014"/>
      <c r="C351" s="1014"/>
      <c r="D351" s="1014"/>
      <c r="E351" s="1014"/>
      <c r="F351" s="1014"/>
      <c r="G351" s="1014"/>
      <c r="H351" s="1014"/>
      <c r="I351" s="1014"/>
      <c r="J351" s="1014"/>
      <c r="K351" s="1014"/>
      <c r="L351" s="1014"/>
      <c r="M351" s="1014"/>
      <c r="N351" s="1014"/>
    </row>
    <row r="352" spans="1:14">
      <c r="A352" s="1014"/>
      <c r="B352" s="1014"/>
      <c r="C352" s="1014"/>
      <c r="D352" s="1014"/>
      <c r="E352" s="1014"/>
      <c r="F352" s="1014"/>
      <c r="G352" s="1014"/>
      <c r="H352" s="1014"/>
      <c r="I352" s="1014"/>
      <c r="J352" s="1014"/>
      <c r="K352" s="1014"/>
      <c r="L352" s="1014"/>
      <c r="M352" s="1014"/>
      <c r="N352" s="1014"/>
    </row>
    <row r="353" spans="1:14">
      <c r="A353" s="1014"/>
      <c r="B353" s="1014"/>
      <c r="C353" s="1014"/>
      <c r="D353" s="1014"/>
      <c r="E353" s="1014"/>
      <c r="F353" s="1014"/>
      <c r="G353" s="1014"/>
      <c r="H353" s="1014"/>
      <c r="I353" s="1014"/>
      <c r="J353" s="1014"/>
      <c r="K353" s="1014"/>
      <c r="L353" s="1014"/>
      <c r="M353" s="1014"/>
      <c r="N353" s="1014"/>
    </row>
    <row r="354" spans="1:14">
      <c r="A354" s="1014"/>
      <c r="B354" s="1014"/>
      <c r="C354" s="1014"/>
      <c r="D354" s="1014"/>
      <c r="E354" s="1014"/>
      <c r="F354" s="1014"/>
      <c r="G354" s="1014"/>
      <c r="H354" s="1014"/>
      <c r="I354" s="1014"/>
      <c r="J354" s="1014"/>
      <c r="K354" s="1014"/>
      <c r="L354" s="1014"/>
      <c r="M354" s="1014"/>
      <c r="N354" s="1014"/>
    </row>
    <row r="355" spans="1:14">
      <c r="A355" s="1014"/>
      <c r="B355" s="1014"/>
      <c r="C355" s="1014"/>
      <c r="D355" s="1014"/>
      <c r="E355" s="1014"/>
      <c r="F355" s="1014"/>
      <c r="G355" s="1014"/>
      <c r="H355" s="1014"/>
      <c r="I355" s="1014"/>
      <c r="J355" s="1014"/>
      <c r="K355" s="1014"/>
      <c r="L355" s="1014"/>
      <c r="M355" s="1014"/>
      <c r="N355" s="1014"/>
    </row>
    <row r="356" spans="1:14">
      <c r="A356" s="1014"/>
      <c r="B356" s="1014"/>
      <c r="C356" s="1014"/>
      <c r="D356" s="1014"/>
      <c r="E356" s="1014"/>
      <c r="F356" s="1014"/>
      <c r="G356" s="1014"/>
      <c r="H356" s="1014"/>
      <c r="I356" s="1014"/>
      <c r="J356" s="1014"/>
      <c r="K356" s="1014"/>
      <c r="L356" s="1014"/>
      <c r="M356" s="1014"/>
      <c r="N356" s="1014"/>
    </row>
    <row r="357" spans="1:14">
      <c r="A357" s="1014"/>
      <c r="B357" s="1014"/>
      <c r="C357" s="1014"/>
      <c r="D357" s="1014"/>
      <c r="E357" s="1014"/>
      <c r="F357" s="1014"/>
      <c r="G357" s="1014"/>
      <c r="H357" s="1014"/>
      <c r="I357" s="1014"/>
      <c r="J357" s="1014"/>
      <c r="K357" s="1014"/>
      <c r="L357" s="1014"/>
      <c r="M357" s="1014"/>
      <c r="N357" s="1014"/>
    </row>
    <row r="358" spans="1:14">
      <c r="A358" s="1014"/>
      <c r="B358" s="1014"/>
      <c r="C358" s="1014"/>
      <c r="D358" s="1014"/>
      <c r="E358" s="1014"/>
      <c r="F358" s="1014"/>
      <c r="G358" s="1014"/>
      <c r="H358" s="1014"/>
      <c r="I358" s="1014"/>
      <c r="J358" s="1014"/>
      <c r="K358" s="1014"/>
      <c r="L358" s="1014"/>
      <c r="M358" s="1014"/>
      <c r="N358" s="1014"/>
    </row>
    <row r="359" spans="1:14">
      <c r="A359" s="1014"/>
      <c r="B359" s="1014"/>
      <c r="C359" s="1014"/>
      <c r="D359" s="1014"/>
      <c r="E359" s="1014"/>
      <c r="F359" s="1014"/>
      <c r="G359" s="1014"/>
      <c r="H359" s="1014"/>
      <c r="I359" s="1014"/>
      <c r="J359" s="1014"/>
      <c r="K359" s="1014"/>
      <c r="L359" s="1014"/>
      <c r="M359" s="1014"/>
      <c r="N359" s="1014"/>
    </row>
    <row r="360" spans="1:14">
      <c r="A360" s="1014"/>
      <c r="B360" s="1014"/>
      <c r="C360" s="1014"/>
      <c r="D360" s="1014"/>
      <c r="E360" s="1014"/>
      <c r="F360" s="1014"/>
      <c r="G360" s="1014"/>
      <c r="H360" s="1014"/>
      <c r="I360" s="1014"/>
      <c r="J360" s="1014"/>
      <c r="K360" s="1014"/>
      <c r="L360" s="1014"/>
      <c r="M360" s="1014"/>
      <c r="N360" s="1014"/>
    </row>
    <row r="361" spans="1:14">
      <c r="A361" s="1014"/>
      <c r="B361" s="1014"/>
      <c r="C361" s="1014"/>
      <c r="D361" s="1014"/>
      <c r="E361" s="1014"/>
      <c r="F361" s="1014"/>
      <c r="G361" s="1014"/>
      <c r="H361" s="1014"/>
      <c r="I361" s="1014"/>
      <c r="J361" s="1014"/>
      <c r="K361" s="1014"/>
      <c r="L361" s="1014"/>
      <c r="M361" s="1014"/>
      <c r="N361" s="1014"/>
    </row>
    <row r="362" spans="1:14">
      <c r="A362" s="1014"/>
      <c r="B362" s="1014"/>
      <c r="C362" s="1014"/>
      <c r="D362" s="1014"/>
      <c r="E362" s="1014"/>
      <c r="F362" s="1014"/>
      <c r="G362" s="1014"/>
      <c r="H362" s="1014"/>
      <c r="I362" s="1014"/>
      <c r="J362" s="1014"/>
      <c r="K362" s="1014"/>
      <c r="L362" s="1014"/>
      <c r="M362" s="1014"/>
      <c r="N362" s="1014"/>
    </row>
    <row r="363" spans="1:14">
      <c r="A363" s="1014"/>
      <c r="B363" s="1014"/>
      <c r="C363" s="1014"/>
      <c r="D363" s="1014"/>
      <c r="E363" s="1014"/>
      <c r="F363" s="1014"/>
      <c r="G363" s="1014"/>
      <c r="H363" s="1014"/>
      <c r="I363" s="1014"/>
      <c r="J363" s="1014"/>
      <c r="K363" s="1014"/>
      <c r="L363" s="1014"/>
      <c r="M363" s="1014"/>
      <c r="N363" s="1014"/>
    </row>
    <row r="364" spans="1:14">
      <c r="A364" s="1014"/>
      <c r="B364" s="1014"/>
      <c r="C364" s="1014"/>
      <c r="D364" s="1014"/>
      <c r="E364" s="1014"/>
      <c r="F364" s="1014"/>
      <c r="G364" s="1014"/>
      <c r="H364" s="1014"/>
      <c r="I364" s="1014"/>
      <c r="J364" s="1014"/>
      <c r="K364" s="1014"/>
      <c r="L364" s="1014"/>
      <c r="M364" s="1014"/>
      <c r="N364" s="1014"/>
    </row>
    <row r="365" spans="1:14">
      <c r="A365" s="1014"/>
      <c r="B365" s="1014"/>
      <c r="C365" s="1014"/>
      <c r="D365" s="1014"/>
      <c r="E365" s="1014"/>
      <c r="F365" s="1014"/>
      <c r="G365" s="1014"/>
      <c r="H365" s="1014"/>
      <c r="I365" s="1014"/>
      <c r="J365" s="1014"/>
      <c r="K365" s="1014"/>
      <c r="L365" s="1014"/>
      <c r="M365" s="1014"/>
      <c r="N365" s="1014"/>
    </row>
    <row r="366" spans="1:14">
      <c r="A366" s="1014"/>
      <c r="B366" s="1014"/>
      <c r="C366" s="1014"/>
      <c r="D366" s="1014"/>
      <c r="E366" s="1014"/>
      <c r="F366" s="1014"/>
      <c r="G366" s="1014"/>
      <c r="H366" s="1014"/>
      <c r="I366" s="1014"/>
      <c r="J366" s="1014"/>
      <c r="K366" s="1014"/>
      <c r="L366" s="1014"/>
      <c r="M366" s="1014"/>
      <c r="N366" s="1014"/>
    </row>
    <row r="367" spans="1:14">
      <c r="A367" s="1014"/>
      <c r="B367" s="1014"/>
      <c r="C367" s="1014"/>
      <c r="D367" s="1014"/>
      <c r="E367" s="1014"/>
      <c r="F367" s="1014"/>
      <c r="G367" s="1014"/>
      <c r="H367" s="1014"/>
      <c r="I367" s="1014"/>
      <c r="J367" s="1014"/>
      <c r="K367" s="1014"/>
      <c r="L367" s="1014"/>
      <c r="M367" s="1014"/>
      <c r="N367" s="1014"/>
    </row>
    <row r="368" spans="1:14">
      <c r="A368" s="1014"/>
      <c r="B368" s="1014"/>
      <c r="C368" s="1014"/>
      <c r="D368" s="1014"/>
      <c r="E368" s="1014"/>
      <c r="F368" s="1014"/>
      <c r="G368" s="1014"/>
      <c r="H368" s="1014"/>
      <c r="I368" s="1014"/>
      <c r="J368" s="1014"/>
      <c r="K368" s="1014"/>
      <c r="L368" s="1014"/>
      <c r="M368" s="1014"/>
      <c r="N368" s="1014"/>
    </row>
    <row r="369" spans="1:14">
      <c r="A369" s="1014"/>
      <c r="B369" s="1014"/>
      <c r="C369" s="1014"/>
      <c r="D369" s="1014"/>
      <c r="E369" s="1014"/>
      <c r="F369" s="1014"/>
      <c r="G369" s="1014"/>
      <c r="H369" s="1014"/>
      <c r="I369" s="1014"/>
      <c r="J369" s="1014"/>
      <c r="K369" s="1014"/>
      <c r="L369" s="1014"/>
      <c r="M369" s="1014"/>
      <c r="N369" s="1014"/>
    </row>
    <row r="370" spans="1:14">
      <c r="A370" s="1014"/>
      <c r="B370" s="1014"/>
      <c r="C370" s="1014"/>
      <c r="D370" s="1014"/>
      <c r="E370" s="1014"/>
      <c r="F370" s="1014"/>
      <c r="G370" s="1014"/>
      <c r="H370" s="1014"/>
      <c r="I370" s="1014"/>
      <c r="J370" s="1014"/>
      <c r="K370" s="1014"/>
      <c r="L370" s="1014"/>
      <c r="M370" s="1014"/>
      <c r="N370" s="1014"/>
    </row>
    <row r="371" spans="1:14">
      <c r="A371" s="1014"/>
      <c r="B371" s="1014"/>
      <c r="C371" s="1014"/>
      <c r="D371" s="1014"/>
      <c r="E371" s="1014"/>
      <c r="F371" s="1014"/>
      <c r="G371" s="1014"/>
      <c r="H371" s="1014"/>
      <c r="I371" s="1014"/>
      <c r="J371" s="1014"/>
      <c r="K371" s="1014"/>
      <c r="L371" s="1014"/>
      <c r="M371" s="1014"/>
      <c r="N371" s="1014"/>
    </row>
    <row r="372" spans="1:14">
      <c r="A372" s="1014"/>
      <c r="B372" s="1014"/>
      <c r="C372" s="1014"/>
      <c r="D372" s="1014"/>
      <c r="E372" s="1014"/>
      <c r="F372" s="1014"/>
      <c r="G372" s="1014"/>
      <c r="H372" s="1014"/>
      <c r="I372" s="1014"/>
      <c r="J372" s="1014"/>
      <c r="K372" s="1014"/>
      <c r="L372" s="1014"/>
      <c r="M372" s="1014"/>
      <c r="N372" s="1014"/>
    </row>
    <row r="373" spans="1:14">
      <c r="A373" s="1014"/>
      <c r="B373" s="1014"/>
      <c r="C373" s="1014"/>
      <c r="D373" s="1014"/>
      <c r="E373" s="1014"/>
      <c r="F373" s="1014"/>
      <c r="G373" s="1014"/>
      <c r="H373" s="1014"/>
      <c r="I373" s="1014"/>
      <c r="J373" s="1014"/>
      <c r="K373" s="1014"/>
      <c r="L373" s="1014"/>
      <c r="M373" s="1014"/>
      <c r="N373" s="1014"/>
    </row>
    <row r="374" spans="1:14">
      <c r="A374" s="1014"/>
      <c r="B374" s="1014"/>
      <c r="C374" s="1014"/>
      <c r="D374" s="1014"/>
      <c r="E374" s="1014"/>
      <c r="F374" s="1014"/>
      <c r="G374" s="1014"/>
      <c r="H374" s="1014"/>
      <c r="I374" s="1014"/>
      <c r="J374" s="1014"/>
      <c r="K374" s="1014"/>
      <c r="L374" s="1014"/>
      <c r="M374" s="1014"/>
      <c r="N374" s="1014"/>
    </row>
    <row r="375" spans="1:14">
      <c r="A375" s="1014"/>
      <c r="B375" s="1014"/>
      <c r="C375" s="1014"/>
      <c r="D375" s="1014"/>
      <c r="E375" s="1014"/>
      <c r="F375" s="1014"/>
      <c r="G375" s="1014"/>
      <c r="H375" s="1014"/>
      <c r="I375" s="1014"/>
      <c r="J375" s="1014"/>
      <c r="K375" s="1014"/>
      <c r="L375" s="1014"/>
      <c r="M375" s="1014"/>
      <c r="N375" s="1014"/>
    </row>
    <row r="376" spans="1:14">
      <c r="A376" s="1014"/>
      <c r="B376" s="1014"/>
      <c r="C376" s="1014"/>
      <c r="D376" s="1014"/>
      <c r="E376" s="1014"/>
      <c r="F376" s="1014"/>
      <c r="G376" s="1014"/>
      <c r="H376" s="1014"/>
      <c r="I376" s="1014"/>
      <c r="J376" s="1014"/>
      <c r="K376" s="1014"/>
      <c r="L376" s="1014"/>
      <c r="M376" s="1014"/>
      <c r="N376" s="1014"/>
    </row>
    <row r="377" spans="1:14">
      <c r="A377" s="1014"/>
      <c r="B377" s="1014"/>
      <c r="C377" s="1014"/>
      <c r="D377" s="1014"/>
      <c r="E377" s="1014"/>
      <c r="F377" s="1014"/>
      <c r="G377" s="1014"/>
      <c r="H377" s="1014"/>
      <c r="I377" s="1014"/>
      <c r="J377" s="1014"/>
      <c r="K377" s="1014"/>
      <c r="L377" s="1014"/>
      <c r="M377" s="1014"/>
      <c r="N377" s="1014"/>
    </row>
    <row r="378" spans="1:14">
      <c r="A378" s="1014"/>
      <c r="B378" s="1014"/>
      <c r="C378" s="1014"/>
      <c r="D378" s="1014"/>
      <c r="E378" s="1014"/>
      <c r="F378" s="1014"/>
      <c r="G378" s="1014"/>
      <c r="H378" s="1014"/>
      <c r="I378" s="1014"/>
      <c r="J378" s="1014"/>
      <c r="K378" s="1014"/>
      <c r="L378" s="1014"/>
      <c r="M378" s="1014"/>
      <c r="N378" s="1014"/>
    </row>
    <row r="379" spans="1:14">
      <c r="A379" s="1014"/>
      <c r="B379" s="1014"/>
      <c r="C379" s="1014"/>
      <c r="D379" s="1014"/>
      <c r="E379" s="1014"/>
      <c r="F379" s="1014"/>
      <c r="G379" s="1014"/>
      <c r="H379" s="1014"/>
      <c r="I379" s="1014"/>
      <c r="J379" s="1014"/>
      <c r="K379" s="1014"/>
      <c r="L379" s="1014"/>
      <c r="M379" s="1014"/>
      <c r="N379" s="1014"/>
    </row>
    <row r="380" spans="1:14">
      <c r="A380" s="1014"/>
      <c r="B380" s="1014"/>
      <c r="C380" s="1014"/>
      <c r="D380" s="1014"/>
      <c r="E380" s="1014"/>
      <c r="F380" s="1014"/>
      <c r="G380" s="1014"/>
      <c r="H380" s="1014"/>
      <c r="I380" s="1014"/>
      <c r="J380" s="1014"/>
      <c r="K380" s="1014"/>
      <c r="L380" s="1014"/>
      <c r="M380" s="1014"/>
      <c r="N380" s="1014"/>
    </row>
    <row r="381" spans="1:14">
      <c r="A381" s="1014"/>
      <c r="B381" s="1014"/>
      <c r="C381" s="1014"/>
      <c r="D381" s="1014"/>
      <c r="E381" s="1014"/>
      <c r="F381" s="1014"/>
      <c r="G381" s="1014"/>
      <c r="H381" s="1014"/>
      <c r="I381" s="1014"/>
      <c r="J381" s="1014"/>
      <c r="K381" s="1014"/>
      <c r="L381" s="1014"/>
      <c r="M381" s="1014"/>
      <c r="N381" s="1014"/>
    </row>
    <row r="382" spans="1:14">
      <c r="A382" s="1014"/>
      <c r="B382" s="1014"/>
      <c r="C382" s="1014"/>
      <c r="D382" s="1014"/>
      <c r="E382" s="1014"/>
      <c r="F382" s="1014"/>
      <c r="G382" s="1014"/>
      <c r="H382" s="1014"/>
      <c r="I382" s="1014"/>
      <c r="J382" s="1014"/>
      <c r="K382" s="1014"/>
      <c r="L382" s="1014"/>
      <c r="M382" s="1014"/>
      <c r="N382" s="1014"/>
    </row>
    <row r="383" spans="1:14">
      <c r="A383" s="1014"/>
      <c r="B383" s="1014"/>
      <c r="C383" s="1014"/>
      <c r="D383" s="1014"/>
      <c r="E383" s="1014"/>
      <c r="F383" s="1014"/>
      <c r="G383" s="1014"/>
      <c r="H383" s="1014"/>
      <c r="I383" s="1014"/>
      <c r="J383" s="1014"/>
      <c r="K383" s="1014"/>
      <c r="L383" s="1014"/>
      <c r="M383" s="1014"/>
      <c r="N383" s="1014"/>
    </row>
    <row r="384" spans="1:14">
      <c r="A384" s="1014"/>
      <c r="B384" s="1014"/>
      <c r="C384" s="1014"/>
      <c r="D384" s="1014"/>
      <c r="E384" s="1014"/>
      <c r="F384" s="1014"/>
      <c r="G384" s="1014"/>
      <c r="H384" s="1014"/>
      <c r="I384" s="1014"/>
      <c r="J384" s="1014"/>
      <c r="K384" s="1014"/>
      <c r="L384" s="1014"/>
      <c r="M384" s="1014"/>
      <c r="N384" s="1014"/>
    </row>
    <row r="385" spans="1:14">
      <c r="A385" s="1014"/>
      <c r="B385" s="1014"/>
      <c r="C385" s="1014"/>
      <c r="D385" s="1014"/>
      <c r="E385" s="1014"/>
      <c r="F385" s="1014"/>
      <c r="G385" s="1014"/>
      <c r="H385" s="1014"/>
      <c r="I385" s="1014"/>
      <c r="J385" s="1014"/>
      <c r="K385" s="1014"/>
      <c r="L385" s="1014"/>
      <c r="M385" s="1014"/>
      <c r="N385" s="1014"/>
    </row>
    <row r="386" spans="1:14">
      <c r="A386" s="1014"/>
      <c r="B386" s="1014"/>
      <c r="C386" s="1014"/>
      <c r="D386" s="1014"/>
      <c r="E386" s="1014"/>
      <c r="F386" s="1014"/>
      <c r="G386" s="1014"/>
      <c r="H386" s="1014"/>
      <c r="I386" s="1014"/>
      <c r="J386" s="1014"/>
      <c r="K386" s="1014"/>
      <c r="L386" s="1014"/>
      <c r="M386" s="1014"/>
      <c r="N386" s="1014"/>
    </row>
    <row r="387" spans="1:14">
      <c r="A387" s="1014"/>
      <c r="B387" s="1014"/>
      <c r="C387" s="1014"/>
      <c r="D387" s="1014"/>
      <c r="E387" s="1014"/>
      <c r="F387" s="1014"/>
      <c r="G387" s="1014"/>
      <c r="H387" s="1014"/>
      <c r="I387" s="1014"/>
      <c r="J387" s="1014"/>
      <c r="K387" s="1014"/>
      <c r="L387" s="1014"/>
      <c r="M387" s="1014"/>
      <c r="N387" s="1014"/>
    </row>
    <row r="388" spans="1:14">
      <c r="A388" s="1014"/>
      <c r="B388" s="1014"/>
      <c r="C388" s="1014"/>
      <c r="D388" s="1014"/>
      <c r="E388" s="1014"/>
      <c r="F388" s="1014"/>
      <c r="G388" s="1014"/>
      <c r="H388" s="1014"/>
      <c r="I388" s="1014"/>
      <c r="J388" s="1014"/>
      <c r="K388" s="1014"/>
      <c r="L388" s="1014"/>
      <c r="M388" s="1014"/>
      <c r="N388" s="1014"/>
    </row>
    <row r="389" spans="1:14">
      <c r="A389" s="1014"/>
      <c r="B389" s="1014"/>
      <c r="C389" s="1014"/>
      <c r="D389" s="1014"/>
      <c r="E389" s="1014"/>
      <c r="F389" s="1014"/>
      <c r="G389" s="1014"/>
      <c r="H389" s="1014"/>
      <c r="I389" s="1014"/>
      <c r="J389" s="1014"/>
      <c r="K389" s="1014"/>
      <c r="L389" s="1014"/>
      <c r="M389" s="1014"/>
      <c r="N389" s="1014"/>
    </row>
  </sheetData>
  <mergeCells count="4">
    <mergeCell ref="F111:K112"/>
    <mergeCell ref="F113:K114"/>
    <mergeCell ref="K15:M15"/>
    <mergeCell ref="J16:J17"/>
  </mergeCells>
  <phoneticPr fontId="138" type="noConversion"/>
  <dataValidations disablePrompts="1" count="1">
    <dataValidation type="list" showDropDown="1" showInputMessage="1" showErrorMessage="1" errorTitle="Wrong input" error="Only values &quot;0&quot; and &quot;29&quot; are allowed_x000a_" sqref="C119">
      <formula1>"0,29"</formula1>
    </dataValidation>
  </dataValidation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sheetPr codeName="Blad22">
    <pageSetUpPr fitToPage="1"/>
  </sheetPr>
  <dimension ref="A1:O185"/>
  <sheetViews>
    <sheetView showGridLines="0" zoomScale="85" zoomScaleNormal="85" zoomScalePageLayoutView="80" workbookViewId="0">
      <selection activeCell="E11" sqref="E11:E14"/>
    </sheetView>
  </sheetViews>
  <sheetFormatPr defaultColWidth="8.85546875" defaultRowHeight="12.75"/>
  <cols>
    <col min="1" max="1" width="38.28515625" customWidth="1"/>
    <col min="2" max="2" width="26.85546875" customWidth="1"/>
    <col min="3" max="3" width="21.140625" customWidth="1"/>
    <col min="4" max="4" width="28.140625" customWidth="1"/>
    <col min="5" max="5" width="16" customWidth="1"/>
    <col min="6" max="6" width="24" customWidth="1"/>
    <col min="7" max="7" width="2.85546875" customWidth="1"/>
    <col min="8" max="8" width="22.42578125" customWidth="1"/>
    <col min="9" max="9" width="11.7109375" customWidth="1"/>
    <col min="10" max="10" width="11.85546875" customWidth="1"/>
    <col min="11" max="11" width="11.28515625" customWidth="1"/>
    <col min="12" max="12" width="12.7109375" customWidth="1"/>
    <col min="13" max="13" width="2.42578125" customWidth="1"/>
    <col min="14" max="14" width="21.42578125" customWidth="1"/>
    <col min="15" max="15" width="13.7109375" customWidth="1"/>
    <col min="16" max="16384" width="8.85546875" style="3"/>
  </cols>
  <sheetData>
    <row r="1" spans="1:15" ht="102.75" customHeight="1" thickBot="1">
      <c r="A1" s="1203"/>
      <c r="B1" s="1204"/>
      <c r="C1" s="1204"/>
      <c r="D1" s="1204"/>
      <c r="E1" s="1204"/>
      <c r="F1" s="1204"/>
      <c r="G1" s="1204"/>
      <c r="H1" s="1205"/>
      <c r="I1" s="113"/>
      <c r="J1" s="113"/>
      <c r="K1" s="113"/>
      <c r="L1" s="113"/>
      <c r="M1" s="113"/>
      <c r="N1" s="113"/>
      <c r="O1" s="113"/>
    </row>
    <row r="2" spans="1:15" ht="27.75" customHeight="1">
      <c r="A2" s="3298" t="s">
        <v>1565</v>
      </c>
      <c r="B2" s="3299"/>
      <c r="C2" s="3299"/>
      <c r="D2" s="3299"/>
      <c r="E2" s="3299"/>
      <c r="F2" s="3299"/>
      <c r="G2" s="3299"/>
      <c r="H2" s="3299"/>
      <c r="I2" s="3299"/>
      <c r="J2" s="3299"/>
      <c r="K2" s="3299"/>
      <c r="L2" s="3299"/>
      <c r="M2" s="3299"/>
      <c r="N2" s="3299"/>
      <c r="O2" s="3300"/>
    </row>
    <row r="3" spans="1:15" ht="27.75" customHeight="1" thickBot="1">
      <c r="A3" s="3301" t="s">
        <v>772</v>
      </c>
      <c r="B3" s="3302"/>
      <c r="C3" s="1191"/>
      <c r="D3" s="1191"/>
      <c r="E3" s="1190"/>
      <c r="F3" s="1190"/>
      <c r="G3" s="1190"/>
      <c r="H3" s="45"/>
      <c r="I3" s="47"/>
      <c r="J3" s="108"/>
      <c r="K3" s="52"/>
      <c r="L3" s="108"/>
      <c r="M3" s="108"/>
      <c r="N3" s="22"/>
      <c r="O3" s="1193"/>
    </row>
    <row r="4" spans="1:15" ht="16.5" customHeight="1">
      <c r="A4" s="3166" t="s">
        <v>768</v>
      </c>
      <c r="B4" s="3215" t="s">
        <v>658</v>
      </c>
      <c r="C4" s="3217" t="s">
        <v>769</v>
      </c>
      <c r="D4" s="3217" t="s">
        <v>659</v>
      </c>
      <c r="E4" s="3218" t="s">
        <v>770</v>
      </c>
      <c r="F4" s="3215" t="s">
        <v>771</v>
      </c>
      <c r="G4" s="55"/>
      <c r="H4" s="3188" t="s">
        <v>1566</v>
      </c>
      <c r="I4" s="52"/>
      <c r="J4" s="3192" t="s">
        <v>1833</v>
      </c>
      <c r="K4" s="3192"/>
      <c r="L4" s="3191"/>
      <c r="M4" s="22"/>
      <c r="N4" s="3190" t="s">
        <v>778</v>
      </c>
      <c r="O4" s="3191"/>
    </row>
    <row r="5" spans="1:15" ht="24" customHeight="1">
      <c r="A5" s="3166"/>
      <c r="B5" s="3216"/>
      <c r="C5" s="3217"/>
      <c r="D5" s="3217"/>
      <c r="E5" s="3218"/>
      <c r="F5" s="3219"/>
      <c r="G5" s="56"/>
      <c r="H5" s="3189"/>
      <c r="I5" s="22"/>
      <c r="J5" s="3303" t="str">
        <f>A63</f>
        <v>Етаноловий завод</v>
      </c>
      <c r="K5" s="3304"/>
      <c r="L5" s="3305"/>
      <c r="M5" s="22"/>
      <c r="N5" s="3182" t="s">
        <v>782</v>
      </c>
      <c r="O5" s="3183"/>
    </row>
    <row r="6" spans="1:15" ht="16.5" customHeight="1">
      <c r="A6" s="1301" t="s">
        <v>773</v>
      </c>
      <c r="B6" s="135"/>
      <c r="C6" s="136"/>
      <c r="D6" s="137"/>
      <c r="E6" s="969">
        <f>IF(F6="A",D7,H6)</f>
        <v>23.428245342469936</v>
      </c>
      <c r="F6" s="968" t="s">
        <v>1486</v>
      </c>
      <c r="G6" s="57"/>
      <c r="H6" s="139">
        <v>23</v>
      </c>
      <c r="I6" s="22"/>
      <c r="J6" s="127">
        <f>F87/F89</f>
        <v>0.59511653718091007</v>
      </c>
      <c r="K6" s="2680" t="s">
        <v>779</v>
      </c>
      <c r="L6" s="128"/>
      <c r="M6" s="22"/>
      <c r="N6" s="389">
        <v>83.8</v>
      </c>
      <c r="O6" s="1144" t="s">
        <v>783</v>
      </c>
    </row>
    <row r="7" spans="1:15" ht="12" customHeight="1">
      <c r="A7" s="1302" t="str">
        <f>A20</f>
        <v>Вирощування пшениці</v>
      </c>
      <c r="B7" s="93">
        <f>L41</f>
        <v>39.367491707507298</v>
      </c>
      <c r="C7" s="94">
        <f>J6</f>
        <v>0.59511653718091007</v>
      </c>
      <c r="D7" s="21">
        <f>C7*B7</f>
        <v>23.428245342469936</v>
      </c>
      <c r="E7" s="2790"/>
      <c r="F7" s="58"/>
      <c r="G7" s="58"/>
      <c r="H7" s="1298">
        <f>23.43</f>
        <v>23.43</v>
      </c>
      <c r="I7" s="22"/>
      <c r="J7" s="129">
        <f>1-J6</f>
        <v>0.40488346281908993</v>
      </c>
      <c r="K7" s="2679" t="s">
        <v>1567</v>
      </c>
      <c r="L7" s="130"/>
      <c r="M7" s="22"/>
      <c r="N7" s="3180" t="s">
        <v>781</v>
      </c>
      <c r="O7" s="3181"/>
    </row>
    <row r="8" spans="1:15" ht="16.5" customHeight="1">
      <c r="A8" s="1301" t="s">
        <v>774</v>
      </c>
      <c r="B8" s="145"/>
      <c r="C8" s="145"/>
      <c r="D8" s="146"/>
      <c r="E8" s="138">
        <f>IF(F8="A",D9,H8)</f>
        <v>44.554379885147981</v>
      </c>
      <c r="F8" s="968" t="s">
        <v>1486</v>
      </c>
      <c r="G8" s="57"/>
      <c r="H8" s="139">
        <v>45</v>
      </c>
      <c r="I8" s="22"/>
      <c r="J8" s="22"/>
      <c r="K8" s="22"/>
      <c r="L8" s="22"/>
      <c r="M8" s="22"/>
      <c r="N8" s="392">
        <f>(N6-E17)/N6</f>
        <v>0.16598068591785561</v>
      </c>
      <c r="O8" s="1303"/>
    </row>
    <row r="9" spans="1:15" ht="12" customHeight="1">
      <c r="A9" s="1302" t="str">
        <f>A63</f>
        <v>Етаноловий завод</v>
      </c>
      <c r="B9" s="93">
        <f>L81</f>
        <v>74.866647289291933</v>
      </c>
      <c r="C9" s="94">
        <f>J6</f>
        <v>0.59511653718091007</v>
      </c>
      <c r="D9" s="21">
        <f>C9*B9</f>
        <v>44.554379885147981</v>
      </c>
      <c r="E9" s="2790"/>
      <c r="F9" s="58"/>
      <c r="G9" s="58"/>
      <c r="H9" s="1298">
        <f>1.4*31.87</f>
        <v>44.618000000000002</v>
      </c>
      <c r="I9" s="22"/>
      <c r="J9" s="22"/>
      <c r="K9" s="22"/>
      <c r="L9" s="22"/>
      <c r="M9" s="22"/>
      <c r="N9" s="22"/>
      <c r="O9" s="1304"/>
    </row>
    <row r="10" spans="1:15" ht="16.5" customHeight="1">
      <c r="A10" s="1301" t="s">
        <v>775</v>
      </c>
      <c r="B10" s="145"/>
      <c r="C10" s="145"/>
      <c r="D10" s="146"/>
      <c r="E10" s="138">
        <f>IF(F10="A",D11+D12+D13+D14, H10)</f>
        <v>1.9081932924657827</v>
      </c>
      <c r="F10" s="968" t="s">
        <v>1486</v>
      </c>
      <c r="G10" s="57"/>
      <c r="H10" s="139">
        <v>2</v>
      </c>
      <c r="I10" s="22"/>
      <c r="J10" s="22"/>
      <c r="K10" s="22"/>
      <c r="L10" s="22"/>
      <c r="M10" s="22"/>
      <c r="N10" s="22"/>
      <c r="O10" s="1305"/>
    </row>
    <row r="11" spans="1:15" ht="3" customHeight="1" thickBot="1">
      <c r="A11" s="1302" t="str">
        <f>A44</f>
        <v>Обробка та зберігання пшениці</v>
      </c>
      <c r="B11" s="93">
        <f>L50</f>
        <v>9.7721115771996853E-2</v>
      </c>
      <c r="C11" s="94">
        <f>J6</f>
        <v>0.59511653718091007</v>
      </c>
      <c r="D11" s="21">
        <f t="shared" ref="D11:D16" si="0">C11*B11</f>
        <v>5.8155452027685579E-2</v>
      </c>
      <c r="E11" s="2790"/>
      <c r="F11" s="57"/>
      <c r="G11" s="57"/>
      <c r="H11" s="3306">
        <f>0.38</f>
        <v>0.38</v>
      </c>
      <c r="I11" s="22"/>
      <c r="J11" s="22"/>
      <c r="K11" s="22"/>
      <c r="L11" s="22"/>
      <c r="M11" s="22"/>
      <c r="N11" s="22"/>
      <c r="O11" s="3297"/>
    </row>
    <row r="12" spans="1:15" ht="12" customHeight="1">
      <c r="A12" s="1302" t="str">
        <f>A53</f>
        <v>Транспортування пшениці</v>
      </c>
      <c r="B12" s="93">
        <f>L60</f>
        <v>0.52060153661066044</v>
      </c>
      <c r="C12" s="94">
        <f>J6</f>
        <v>0.59511653718091007</v>
      </c>
      <c r="D12" s="21">
        <f t="shared" si="0"/>
        <v>0.309818583718797</v>
      </c>
      <c r="E12" s="2790"/>
      <c r="F12" s="58"/>
      <c r="G12" s="58"/>
      <c r="H12" s="3307"/>
      <c r="I12" s="22"/>
      <c r="J12" s="117" t="s">
        <v>21</v>
      </c>
      <c r="K12" s="118"/>
      <c r="L12" s="118"/>
      <c r="M12" s="118"/>
      <c r="N12" s="381"/>
      <c r="O12" s="3297"/>
    </row>
    <row r="13" spans="1:15" ht="12" customHeight="1">
      <c r="A13" s="1302" t="str">
        <f>A93</f>
        <v>Транспортування етанолу</v>
      </c>
      <c r="B13" s="93">
        <f>L102</f>
        <v>1.0989339178304114</v>
      </c>
      <c r="C13" s="95">
        <v>1</v>
      </c>
      <c r="D13" s="21">
        <f t="shared" si="0"/>
        <v>1.0989339178304114</v>
      </c>
      <c r="E13" s="2790"/>
      <c r="F13" s="60"/>
      <c r="G13" s="60"/>
      <c r="H13" s="1298">
        <f>1.1</f>
        <v>1.1000000000000001</v>
      </c>
      <c r="I13" s="22"/>
      <c r="J13" s="119"/>
      <c r="K13" s="91"/>
      <c r="L13" s="91"/>
      <c r="M13" s="91"/>
      <c r="N13" s="382"/>
      <c r="O13" s="1306"/>
    </row>
    <row r="14" spans="1:15" ht="12" customHeight="1">
      <c r="A14" s="1302" t="str">
        <f>A105</f>
        <v>Автозаправна станція</v>
      </c>
      <c r="B14" s="93">
        <f>L110</f>
        <v>0.44128533888888888</v>
      </c>
      <c r="C14" s="95">
        <v>1</v>
      </c>
      <c r="D14" s="21">
        <f t="shared" si="0"/>
        <v>0.44128533888888888</v>
      </c>
      <c r="E14" s="2790"/>
      <c r="F14" s="60"/>
      <c r="G14" s="60"/>
      <c r="H14" s="1298">
        <f>0.44</f>
        <v>0.44</v>
      </c>
      <c r="I14" s="22"/>
      <c r="J14" s="119"/>
      <c r="K14" s="91"/>
      <c r="L14" s="91"/>
      <c r="M14" s="120"/>
      <c r="N14" s="383"/>
      <c r="O14" s="1306"/>
    </row>
    <row r="15" spans="1:15" ht="17.25" customHeight="1">
      <c r="A15" s="1307" t="s">
        <v>776</v>
      </c>
      <c r="B15" s="148">
        <f>L126</f>
        <v>0</v>
      </c>
      <c r="C15" s="149">
        <f>J6</f>
        <v>0.59511653718091007</v>
      </c>
      <c r="D15" s="148">
        <f t="shared" si="0"/>
        <v>0</v>
      </c>
      <c r="E15" s="138">
        <f>D15</f>
        <v>0</v>
      </c>
      <c r="F15" s="156"/>
      <c r="G15" s="156"/>
      <c r="H15" s="151">
        <v>0</v>
      </c>
      <c r="I15" s="22"/>
      <c r="J15" s="119"/>
      <c r="K15" s="91"/>
      <c r="L15" s="91"/>
      <c r="M15" s="92"/>
      <c r="N15" s="384"/>
      <c r="O15" s="1308"/>
    </row>
    <row r="16" spans="1:15" ht="16.5" customHeight="1">
      <c r="A16" s="1307" t="s">
        <v>1194</v>
      </c>
      <c r="B16" s="148">
        <f>L140+L146+L152</f>
        <v>0</v>
      </c>
      <c r="C16" s="150">
        <v>1</v>
      </c>
      <c r="D16" s="148">
        <f t="shared" si="0"/>
        <v>0</v>
      </c>
      <c r="E16" s="138">
        <f>D16</f>
        <v>0</v>
      </c>
      <c r="F16" s="61"/>
      <c r="G16" s="61"/>
      <c r="H16" s="151">
        <v>0</v>
      </c>
      <c r="I16" s="22"/>
      <c r="J16" s="119"/>
      <c r="K16" s="91"/>
      <c r="L16" s="91"/>
      <c r="M16" s="92"/>
      <c r="N16" s="384"/>
      <c r="O16" s="1308"/>
    </row>
    <row r="17" spans="1:15" ht="16.5" customHeight="1" thickBot="1">
      <c r="A17" s="1198" t="s">
        <v>770</v>
      </c>
      <c r="B17" s="1309">
        <f>SUM(B7:B15)-B16</f>
        <v>116.39268090590119</v>
      </c>
      <c r="C17" s="1310"/>
      <c r="D17" s="1311"/>
      <c r="E17" s="1312">
        <f>SUM(E6:E15)-E16</f>
        <v>69.890818520083698</v>
      </c>
      <c r="F17" s="1201"/>
      <c r="G17" s="1201"/>
      <c r="H17" s="1313">
        <v>70</v>
      </c>
      <c r="I17" s="1314"/>
      <c r="J17" s="385" t="s">
        <v>686</v>
      </c>
      <c r="K17" s="386"/>
      <c r="L17" s="386"/>
      <c r="M17" s="387"/>
      <c r="N17" s="388"/>
      <c r="O17" s="1315"/>
    </row>
    <row r="18" spans="1:15" ht="16.5" customHeight="1">
      <c r="A18" s="2697" t="s">
        <v>1693</v>
      </c>
      <c r="B18" s="157"/>
      <c r="C18" s="113"/>
      <c r="D18" s="113"/>
      <c r="E18" s="2699" t="s">
        <v>1716</v>
      </c>
      <c r="F18" s="1187"/>
      <c r="G18" s="1187"/>
      <c r="H18" s="1146"/>
      <c r="I18" s="1188"/>
      <c r="J18" s="1299"/>
      <c r="K18" s="91"/>
      <c r="L18" s="1186"/>
      <c r="M18" s="91"/>
      <c r="N18" s="91"/>
      <c r="O18" s="1300"/>
    </row>
    <row r="19" spans="1:15" ht="15" customHeight="1" thickBot="1">
      <c r="A19" s="1389" t="s">
        <v>1568</v>
      </c>
      <c r="B19" s="1314"/>
      <c r="C19" s="1390"/>
      <c r="D19" s="1390"/>
      <c r="E19" s="1391" t="s">
        <v>660</v>
      </c>
      <c r="F19" s="1392"/>
      <c r="G19" s="1392"/>
      <c r="H19" s="1392"/>
      <c r="I19" s="386"/>
      <c r="J19" s="1393"/>
      <c r="K19" s="1393"/>
      <c r="L19" s="1394"/>
      <c r="M19" s="957"/>
      <c r="N19" s="957"/>
      <c r="O19" s="958"/>
    </row>
    <row r="20" spans="1:15" ht="15.75">
      <c r="A20" s="954" t="s">
        <v>664</v>
      </c>
      <c r="B20" s="1388"/>
      <c r="C20" s="1388"/>
      <c r="D20" s="1388"/>
      <c r="E20" s="3308" t="s">
        <v>787</v>
      </c>
      <c r="F20" s="3310"/>
      <c r="G20" s="3310"/>
      <c r="H20" s="3309"/>
      <c r="I20" s="3308" t="s">
        <v>788</v>
      </c>
      <c r="J20" s="3310"/>
      <c r="K20" s="3310"/>
      <c r="L20" s="3309"/>
      <c r="M20" s="116"/>
      <c r="N20" s="3308" t="s">
        <v>789</v>
      </c>
      <c r="O20" s="3309"/>
    </row>
    <row r="21" spans="1:15" ht="18.75" customHeight="1">
      <c r="A21" s="3281" t="s">
        <v>807</v>
      </c>
      <c r="B21" s="3282"/>
      <c r="C21" s="3282"/>
      <c r="D21" s="3283"/>
      <c r="E21" s="96" t="s">
        <v>807</v>
      </c>
      <c r="F21" s="39"/>
      <c r="G21" s="39"/>
      <c r="H21" s="38"/>
      <c r="I21" s="3294" t="s">
        <v>633</v>
      </c>
      <c r="J21" s="3295"/>
      <c r="K21" s="3295"/>
      <c r="L21" s="3296"/>
      <c r="M21" s="50"/>
      <c r="N21" s="126" t="s">
        <v>661</v>
      </c>
      <c r="O21" s="126" t="s">
        <v>662</v>
      </c>
    </row>
    <row r="22" spans="1:15" ht="15.75">
      <c r="A22" s="1220" t="s">
        <v>667</v>
      </c>
      <c r="B22" s="9" t="s">
        <v>1440</v>
      </c>
      <c r="C22" s="415">
        <v>5208.2168117301198</v>
      </c>
      <c r="D22" s="1206" t="s">
        <v>696</v>
      </c>
      <c r="E22" s="97">
        <f>C22*(1-C23)*VLOOKUP($B22,'Standard values'!$C$9:$S$159,14, FALSE)</f>
        <v>76586.828216491413</v>
      </c>
      <c r="F22" s="1148" t="s">
        <v>672</v>
      </c>
      <c r="G22" s="37"/>
      <c r="H22" s="37"/>
      <c r="I22" s="1322" t="s">
        <v>709</v>
      </c>
      <c r="J22" s="1322" t="s">
        <v>710</v>
      </c>
      <c r="K22" s="1323" t="s">
        <v>711</v>
      </c>
      <c r="L22" s="1323" t="s">
        <v>716</v>
      </c>
      <c r="M22" s="22"/>
      <c r="N22" s="1323" t="s">
        <v>716</v>
      </c>
      <c r="O22" s="1323" t="s">
        <v>673</v>
      </c>
    </row>
    <row r="23" spans="1:15" ht="15.75">
      <c r="A23" s="1222" t="s">
        <v>785</v>
      </c>
      <c r="B23" s="9" t="s">
        <v>1425</v>
      </c>
      <c r="C23" s="416">
        <v>0.13500000000000001</v>
      </c>
      <c r="D23" s="29"/>
      <c r="E23" s="109">
        <v>1</v>
      </c>
      <c r="F23" s="1148" t="s">
        <v>670</v>
      </c>
      <c r="G23" s="79"/>
      <c r="H23" s="9"/>
      <c r="I23" s="1316"/>
      <c r="J23" s="1317"/>
      <c r="K23" s="31"/>
      <c r="L23" s="31"/>
      <c r="M23" s="22"/>
      <c r="N23" s="75"/>
      <c r="O23" s="75"/>
    </row>
    <row r="24" spans="1:15" ht="15.75">
      <c r="A24" s="2698" t="s">
        <v>1715</v>
      </c>
      <c r="B24" s="9" t="s">
        <v>1197</v>
      </c>
      <c r="C24" s="417">
        <v>2148.3894348386743</v>
      </c>
      <c r="D24" s="1206" t="s">
        <v>696</v>
      </c>
      <c r="E24" s="111">
        <f>+C22/E157</f>
        <v>0.12800378600858547</v>
      </c>
      <c r="F24" s="1148" t="s">
        <v>671</v>
      </c>
      <c r="G24" s="79"/>
      <c r="H24" s="9"/>
      <c r="I24" s="1317"/>
      <c r="J24" s="1317"/>
      <c r="K24" s="31"/>
      <c r="L24" s="31"/>
      <c r="M24" s="22"/>
      <c r="N24" s="75"/>
      <c r="O24" s="75"/>
    </row>
    <row r="25" spans="1:15">
      <c r="A25" s="1220"/>
      <c r="B25" s="9"/>
      <c r="C25" s="14"/>
      <c r="D25" s="29"/>
      <c r="E25" s="13"/>
      <c r="F25" s="9"/>
      <c r="G25" s="9"/>
      <c r="H25" s="9"/>
      <c r="I25" s="1318"/>
      <c r="J25" s="1318"/>
      <c r="K25" s="32"/>
      <c r="L25" s="32"/>
      <c r="M25" s="22"/>
      <c r="N25" s="75"/>
      <c r="O25" s="75"/>
    </row>
    <row r="26" spans="1:15">
      <c r="A26" s="1220" t="s">
        <v>688</v>
      </c>
      <c r="B26" s="10" t="s">
        <v>1429</v>
      </c>
      <c r="C26" s="14"/>
      <c r="D26" s="29"/>
      <c r="E26" s="13"/>
      <c r="F26" s="9"/>
      <c r="G26" s="9"/>
      <c r="H26" s="9"/>
      <c r="I26" s="1318"/>
      <c r="J26" s="1318"/>
      <c r="K26" s="32"/>
      <c r="L26" s="32"/>
      <c r="M26" s="22"/>
      <c r="N26" s="75"/>
      <c r="O26" s="75"/>
    </row>
    <row r="27" spans="1:15" ht="14.25">
      <c r="A27" s="1222" t="s">
        <v>689</v>
      </c>
      <c r="B27" s="9" t="s">
        <v>1413</v>
      </c>
      <c r="C27" s="417">
        <v>3716.5</v>
      </c>
      <c r="D27" s="1206" t="s">
        <v>668</v>
      </c>
      <c r="E27" s="36"/>
      <c r="F27" s="9"/>
      <c r="G27" s="9"/>
      <c r="H27" s="9"/>
      <c r="I27" s="1317">
        <f>$C27*VLOOKUP($B27,'Standard values'!$C$9:$S$159,7, FALSE)/$E$157</f>
        <v>8.0050631067823872</v>
      </c>
      <c r="J27" s="1317">
        <f>$C27*VLOOKUP($B27,'Standard values'!$C$9:$S$159,8, FALSE)/$E$157</f>
        <v>0</v>
      </c>
      <c r="K27" s="31">
        <f>$C27*VLOOKUP($B27,'Standard values'!$C$9:$S$159,9, FALSE)/$E$157</f>
        <v>0</v>
      </c>
      <c r="L27" s="31">
        <f>I27*'Standard values'!$D$10+J27*'Standard values'!$D$11+K27*'Standard values'!$D$12</f>
        <v>8.0050631067823872</v>
      </c>
      <c r="M27" s="22"/>
      <c r="N27" s="114">
        <f>+L27/$E$24</f>
        <v>62.537705769464282</v>
      </c>
      <c r="O27" s="115">
        <f>L27*$E$157/1000</f>
        <v>325.70993055555556</v>
      </c>
    </row>
    <row r="28" spans="1:15">
      <c r="A28" s="1220"/>
      <c r="B28" s="9"/>
      <c r="C28" s="14"/>
      <c r="D28" s="29"/>
      <c r="E28" s="36"/>
      <c r="F28" s="9"/>
      <c r="G28" s="9"/>
      <c r="H28" s="9"/>
      <c r="I28" s="1317"/>
      <c r="J28" s="1317"/>
      <c r="K28" s="31"/>
      <c r="L28" s="31"/>
      <c r="M28" s="22"/>
      <c r="N28" s="114"/>
      <c r="O28" s="115"/>
    </row>
    <row r="29" spans="1:15">
      <c r="A29" s="1220" t="s">
        <v>666</v>
      </c>
      <c r="B29" s="10" t="s">
        <v>1449</v>
      </c>
      <c r="C29" s="14"/>
      <c r="D29" s="29"/>
      <c r="E29" s="36"/>
      <c r="F29" s="9"/>
      <c r="G29" s="9"/>
      <c r="H29" s="9"/>
      <c r="I29" s="1317"/>
      <c r="J29" s="1317"/>
      <c r="K29" s="31"/>
      <c r="L29" s="31"/>
      <c r="M29" s="22"/>
      <c r="N29" s="114"/>
      <c r="O29" s="115"/>
    </row>
    <row r="30" spans="1:15" ht="14.25">
      <c r="A30" s="1222" t="s">
        <v>690</v>
      </c>
      <c r="B30" s="9" t="s">
        <v>980</v>
      </c>
      <c r="C30" s="418">
        <v>109.30441083988111</v>
      </c>
      <c r="D30" s="1206" t="s">
        <v>669</v>
      </c>
      <c r="E30" s="36"/>
      <c r="F30" s="9"/>
      <c r="G30" s="9"/>
      <c r="H30" s="9"/>
      <c r="I30" s="1317">
        <f>$C30*VLOOKUP($B30,'Standard values'!$C$9:$S$159,3, FALSE)/$E$157</f>
        <v>7.5944794094809875</v>
      </c>
      <c r="J30" s="1317">
        <f>$C30*VLOOKUP($B30,'Standard values'!$C$9:$S$159,4, FALSE)/$E$157</f>
        <v>2.3314769599091817E-2</v>
      </c>
      <c r="K30" s="31">
        <f>$C30*VLOOKUP($B30,'Standard values'!$C$9:$S$159,5, FALSE)/$E$157</f>
        <v>2.5901777379421516E-2</v>
      </c>
      <c r="L30" s="31">
        <f>I30*'Standard values'!$D$10+J30*'Standard values'!$D$11+K30*'Standard values'!$D$12</f>
        <v>15.896078308525894</v>
      </c>
      <c r="M30" s="22"/>
      <c r="N30" s="114">
        <f>+L30/$E$24</f>
        <v>124.18443863418003</v>
      </c>
      <c r="O30" s="115">
        <f>L30*$E$157/1000</f>
        <v>646.77948104980374</v>
      </c>
    </row>
    <row r="31" spans="1:15" ht="15.75">
      <c r="A31" s="1222" t="s">
        <v>692</v>
      </c>
      <c r="B31" s="9" t="s">
        <v>982</v>
      </c>
      <c r="C31" s="418">
        <v>16.357714030632511</v>
      </c>
      <c r="D31" s="1206" t="s">
        <v>699</v>
      </c>
      <c r="E31" s="36"/>
      <c r="F31" s="9"/>
      <c r="G31" s="9"/>
      <c r="H31" s="9"/>
      <c r="I31" s="1317">
        <f>$C31*VLOOKUP($B31,'Standard values'!$C$9:$S$159,3, FALSE)/$E$157</f>
        <v>0.21561203330840112</v>
      </c>
      <c r="J31" s="1317">
        <f>$C31*VLOOKUP($B31,'Standard values'!$C$9:$S$159,4, FALSE)/$E$157</f>
        <v>6.3154588714152068E-4</v>
      </c>
      <c r="K31" s="31">
        <f>$C31*VLOOKUP($B31,'Standard values'!$C$9:$S$159,5, FALSE)/$E$157</f>
        <v>4.9449451981925676E-6</v>
      </c>
      <c r="L31" s="31">
        <f>I31*'Standard values'!$D$10+J31*'Standard values'!$D$11+K31*'Standard values'!$D$12</f>
        <v>0.23287427415600051</v>
      </c>
      <c r="M31" s="22"/>
      <c r="N31" s="114">
        <f>+L31/$E$24</f>
        <v>1.8192764559353045</v>
      </c>
      <c r="O31" s="115">
        <f>L31*$E$157/1000</f>
        <v>9.4751862229870447</v>
      </c>
    </row>
    <row r="32" spans="1:15" ht="15.75">
      <c r="A32" s="1222" t="s">
        <v>693</v>
      </c>
      <c r="B32" s="9" t="s">
        <v>981</v>
      </c>
      <c r="C32" s="418">
        <v>21.636015155139138</v>
      </c>
      <c r="D32" s="1206" t="s">
        <v>700</v>
      </c>
      <c r="E32" s="36"/>
      <c r="F32" s="9"/>
      <c r="G32" s="9"/>
      <c r="H32" s="9"/>
      <c r="I32" s="1317">
        <f>$C32*VLOOKUP($B32,'Standard values'!$C$9:$S$159,3, FALSE)/$E$157</f>
        <v>0.51308257670131951</v>
      </c>
      <c r="J32" s="1317">
        <f>$C32*VLOOKUP($B32,'Standard values'!$C$9:$S$159,4, FALSE)/$E$157</f>
        <v>7.0776501649619532E-4</v>
      </c>
      <c r="K32" s="31">
        <f>$C32*VLOOKUP($B32,'Standard values'!$C$9:$S$159,5, FALSE)/$E$157</f>
        <v>2.7385348121377956E-5</v>
      </c>
      <c r="L32" s="31">
        <f>I32*'Standard values'!$D$10+J32*'Standard values'!$D$11+K32*'Standard values'!$D$12</f>
        <v>0.53893753585389503</v>
      </c>
      <c r="M32" s="22"/>
      <c r="N32" s="114">
        <f>+L32/$E$24</f>
        <v>4.2103249650580441</v>
      </c>
      <c r="O32" s="115">
        <f>L32*$E$157/1000</f>
        <v>21.928285265862336</v>
      </c>
    </row>
    <row r="33" spans="1:15" ht="14.25">
      <c r="A33" s="1222" t="s">
        <v>694</v>
      </c>
      <c r="B33" s="9" t="s">
        <v>1410</v>
      </c>
      <c r="C33" s="418">
        <v>2.335</v>
      </c>
      <c r="D33" s="1206" t="s">
        <v>696</v>
      </c>
      <c r="E33" s="36"/>
      <c r="F33" s="15"/>
      <c r="G33" s="15"/>
      <c r="H33" s="15"/>
      <c r="I33" s="1317">
        <f>$C33*VLOOKUP($B33,'Standard values'!$C$9:$S$159,3, FALSE)/$E$157</f>
        <v>0.5673659957944569</v>
      </c>
      <c r="J33" s="1317">
        <f>$C33*VLOOKUP($B33,'Standard values'!$C$9:$S$159,4, FALSE)/$E$157</f>
        <v>1.4649477146967333E-3</v>
      </c>
      <c r="K33" s="31">
        <f>$C33*VLOOKUP($B33,'Standard values'!$C$9:$S$159,5, FALSE)/$E$157</f>
        <v>9.64920843923159E-5</v>
      </c>
      <c r="L33" s="31">
        <f>I33*'Standard values'!$D$10+J33*'Standard values'!$D$11+K33*'Standard values'!$D$12</f>
        <v>0.63274432981078532</v>
      </c>
      <c r="M33" s="22"/>
      <c r="N33" s="114">
        <f>+L33/$E$24</f>
        <v>4.943168866648568</v>
      </c>
      <c r="O33" s="115">
        <f>L33*$E$157/1000</f>
        <v>25.745095194499996</v>
      </c>
    </row>
    <row r="34" spans="1:15">
      <c r="A34" s="1222"/>
      <c r="B34" s="9"/>
      <c r="C34" s="16"/>
      <c r="D34" s="29"/>
      <c r="E34" s="36"/>
      <c r="F34" s="15"/>
      <c r="G34" s="15"/>
      <c r="H34" s="15"/>
      <c r="I34" s="1317"/>
      <c r="J34" s="1317"/>
      <c r="K34" s="31"/>
      <c r="L34" s="31"/>
      <c r="M34" s="22"/>
      <c r="N34" s="114"/>
      <c r="O34" s="115"/>
    </row>
    <row r="35" spans="1:15">
      <c r="A35" s="1220" t="s">
        <v>518</v>
      </c>
      <c r="B35" s="10" t="s">
        <v>1415</v>
      </c>
      <c r="C35" s="16"/>
      <c r="D35" s="29"/>
      <c r="E35" s="36"/>
      <c r="F35" s="9"/>
      <c r="G35" s="9"/>
      <c r="H35" s="15"/>
      <c r="I35" s="1317"/>
      <c r="J35" s="1317"/>
      <c r="K35" s="31"/>
      <c r="L35" s="31"/>
      <c r="M35" s="22"/>
      <c r="N35" s="114"/>
      <c r="O35" s="115"/>
    </row>
    <row r="36" spans="1:15" ht="14.25">
      <c r="A36" s="1222" t="s">
        <v>665</v>
      </c>
      <c r="B36" s="37" t="s">
        <v>1474</v>
      </c>
      <c r="C36" s="426">
        <v>120</v>
      </c>
      <c r="D36" s="1206" t="s">
        <v>696</v>
      </c>
      <c r="E36" s="36"/>
      <c r="F36" s="9"/>
      <c r="G36" s="9"/>
      <c r="H36" s="9"/>
      <c r="I36" s="1317">
        <f>$C36*VLOOKUP($B36,'Standard values'!$C$9:$S$159,3, FALSE)/$E$157</f>
        <v>0.44550452941118518</v>
      </c>
      <c r="J36" s="1317">
        <f>$C36*VLOOKUP($B36,'Standard values'!$C$9:$S$159,4, FALSE)/$E$157</f>
        <v>8.172436068274115E-4</v>
      </c>
      <c r="K36" s="31">
        <f>$C36*VLOOKUP($B36,'Standard values'!$C$9:$S$159,5, FALSE)/$E$157</f>
        <v>1.1805940664489816E-3</v>
      </c>
      <c r="L36" s="31">
        <f>I36*'Standard values'!$D$10+J36*'Standard values'!$D$11+K36*'Standard values'!$D$12</f>
        <v>0.81775265138366704</v>
      </c>
      <c r="M36" s="22"/>
      <c r="N36" s="114">
        <f>+L36/$E$24</f>
        <v>6.3885036285475083</v>
      </c>
      <c r="O36" s="115">
        <f>L36*$E$157/1000</f>
        <v>33.272711999999999</v>
      </c>
    </row>
    <row r="37" spans="1:15">
      <c r="A37" s="1220"/>
      <c r="B37" s="10"/>
      <c r="C37" s="17"/>
      <c r="D37" s="29"/>
      <c r="E37" s="36"/>
      <c r="F37" s="9"/>
      <c r="G37" s="9"/>
      <c r="H37" s="9"/>
      <c r="I37" s="1317"/>
      <c r="J37" s="1317"/>
      <c r="K37" s="31"/>
      <c r="L37" s="31"/>
      <c r="M37" s="22"/>
      <c r="N37" s="114"/>
      <c r="O37" s="115"/>
    </row>
    <row r="38" spans="1:15" ht="15">
      <c r="A38" s="1220" t="s">
        <v>1694</v>
      </c>
      <c r="B38" s="10" t="s">
        <v>1450</v>
      </c>
      <c r="C38" s="419">
        <v>1.8083001106671583</v>
      </c>
      <c r="D38" s="1206" t="s">
        <v>696</v>
      </c>
      <c r="E38" s="36"/>
      <c r="F38" s="9"/>
      <c r="G38" s="9"/>
      <c r="H38" s="9"/>
      <c r="I38" s="1317">
        <v>0</v>
      </c>
      <c r="J38" s="1317">
        <v>0</v>
      </c>
      <c r="K38" s="31">
        <f>1000*$C38/$E$157</f>
        <v>4.4443092285216999E-2</v>
      </c>
      <c r="L38" s="31">
        <f>I38*'Standard values'!$D$10+J38*'Standard values'!$D$11+K38*'Standard values'!$D$12</f>
        <v>13.244041500994665</v>
      </c>
      <c r="M38" s="22"/>
      <c r="N38" s="114">
        <f>+L38/$E$24</f>
        <v>103.46601388888888</v>
      </c>
      <c r="O38" s="115">
        <f>L38*$E$157/1000</f>
        <v>538.87343297881318</v>
      </c>
    </row>
    <row r="39" spans="1:15">
      <c r="A39" s="13"/>
      <c r="B39" s="10"/>
      <c r="C39" s="20"/>
      <c r="D39" s="9"/>
      <c r="E39" s="36"/>
      <c r="F39" s="18"/>
      <c r="G39" s="18"/>
      <c r="H39" s="18" t="s">
        <v>770</v>
      </c>
      <c r="I39" s="1319">
        <f>SUM(I23:I38)</f>
        <v>17.341107651478737</v>
      </c>
      <c r="J39" s="1319">
        <f>SUM(J23:J38)</f>
        <v>2.6936271824253677E-2</v>
      </c>
      <c r="K39" s="106">
        <f>SUM(K23:K38)</f>
        <v>7.1654286108799384E-2</v>
      </c>
      <c r="L39" s="106">
        <f>I39*'Standard values'!$D$10+J39*'Standard values'!$D$11+K39*'Standard values'!$D$12</f>
        <v>39.367491707507298</v>
      </c>
      <c r="M39" s="22"/>
      <c r="N39" s="2787">
        <f>+L39/$E$24</f>
        <v>307.54943220872264</v>
      </c>
      <c r="O39" s="1326">
        <f>L39*$E$157/1000</f>
        <v>1601.7841232675221</v>
      </c>
    </row>
    <row r="40" spans="1:15">
      <c r="A40" s="13"/>
      <c r="B40" s="10"/>
      <c r="C40" s="20"/>
      <c r="D40" s="9"/>
      <c r="E40" s="36"/>
      <c r="F40" s="18"/>
      <c r="G40" s="18"/>
      <c r="H40" s="18"/>
      <c r="I40" s="1320"/>
      <c r="J40" s="1320"/>
      <c r="K40" s="33"/>
      <c r="L40" s="33"/>
      <c r="M40" s="22"/>
      <c r="N40" s="11"/>
      <c r="O40" s="11"/>
    </row>
    <row r="41" spans="1:15" ht="14.25">
      <c r="A41" s="161"/>
      <c r="B41" s="162"/>
      <c r="C41" s="162"/>
      <c r="D41" s="162"/>
      <c r="E41" s="161"/>
      <c r="F41" s="163"/>
      <c r="G41" s="163"/>
      <c r="H41" s="163" t="s">
        <v>792</v>
      </c>
      <c r="I41" s="1321"/>
      <c r="J41" s="164" t="s">
        <v>663</v>
      </c>
      <c r="K41" s="165"/>
      <c r="L41" s="166">
        <f>L39</f>
        <v>39.367491707507298</v>
      </c>
      <c r="M41" s="22"/>
      <c r="N41" s="11"/>
      <c r="O41" s="11"/>
    </row>
    <row r="42" spans="1:15">
      <c r="A42" s="22"/>
      <c r="B42" s="22"/>
      <c r="C42" s="22"/>
      <c r="D42" s="22"/>
      <c r="E42" s="22"/>
      <c r="F42" s="47"/>
      <c r="G42" s="47"/>
      <c r="H42" s="47"/>
      <c r="I42" s="48"/>
      <c r="J42" s="49"/>
      <c r="K42" s="50"/>
      <c r="L42" s="51"/>
      <c r="M42" s="22"/>
      <c r="N42" s="11"/>
      <c r="O42" s="11"/>
    </row>
    <row r="43" spans="1:15">
      <c r="A43" s="11"/>
      <c r="B43" s="11"/>
      <c r="C43" s="11"/>
      <c r="D43" s="11"/>
      <c r="E43" s="11"/>
      <c r="F43" s="11"/>
      <c r="G43" s="11"/>
      <c r="H43" s="11"/>
      <c r="I43" s="25"/>
      <c r="J43" s="25"/>
      <c r="K43" s="25"/>
      <c r="L43" s="25"/>
      <c r="M43" s="22"/>
      <c r="N43" s="11"/>
      <c r="O43" s="11"/>
    </row>
    <row r="44" spans="1:15" ht="15.75">
      <c r="A44" s="168" t="s">
        <v>1835</v>
      </c>
      <c r="B44" s="169"/>
      <c r="C44" s="169"/>
      <c r="D44" s="169"/>
      <c r="E44" s="3153" t="s">
        <v>800</v>
      </c>
      <c r="F44" s="3154"/>
      <c r="G44" s="3154"/>
      <c r="H44" s="3154"/>
      <c r="I44" s="3154" t="s">
        <v>788</v>
      </c>
      <c r="J44" s="3154"/>
      <c r="K44" s="3154"/>
      <c r="L44" s="3155"/>
      <c r="M44" s="22"/>
      <c r="N44" s="134" t="s">
        <v>789</v>
      </c>
      <c r="O44" s="11"/>
    </row>
    <row r="45" spans="1:15" ht="15.75">
      <c r="A45" s="1207" t="s">
        <v>667</v>
      </c>
      <c r="B45" s="1207" t="s">
        <v>1440</v>
      </c>
      <c r="C45" s="1255">
        <v>1</v>
      </c>
      <c r="D45" s="9" t="s">
        <v>678</v>
      </c>
      <c r="E45" s="98">
        <f>E22*C45</f>
        <v>76586.828216491413</v>
      </c>
      <c r="F45" s="9" t="s">
        <v>680</v>
      </c>
      <c r="G45" s="9"/>
      <c r="H45" s="89"/>
      <c r="I45" s="3156" t="s">
        <v>633</v>
      </c>
      <c r="J45" s="3144"/>
      <c r="K45" s="3144"/>
      <c r="L45" s="3145"/>
      <c r="M45" s="22"/>
      <c r="N45" s="126" t="s">
        <v>661</v>
      </c>
      <c r="O45" s="11"/>
    </row>
    <row r="46" spans="1:15" ht="15.75">
      <c r="A46" s="1207"/>
      <c r="B46" s="75"/>
      <c r="C46" s="1332"/>
      <c r="D46" s="9"/>
      <c r="E46" s="109">
        <f>E23*C45</f>
        <v>1</v>
      </c>
      <c r="F46" s="9" t="s">
        <v>676</v>
      </c>
      <c r="G46" s="79"/>
      <c r="H46" s="89"/>
      <c r="I46" s="41" t="s">
        <v>1453</v>
      </c>
      <c r="J46" s="41" t="s">
        <v>1454</v>
      </c>
      <c r="K46" s="41" t="s">
        <v>1455</v>
      </c>
      <c r="L46" s="74" t="s">
        <v>1456</v>
      </c>
      <c r="M46" s="22"/>
      <c r="N46" s="40" t="s">
        <v>1456</v>
      </c>
      <c r="O46" s="11"/>
    </row>
    <row r="47" spans="1:15">
      <c r="A47" s="75" t="s">
        <v>632</v>
      </c>
      <c r="B47" s="1207" t="s">
        <v>1429</v>
      </c>
      <c r="C47" s="75"/>
      <c r="D47" s="9"/>
      <c r="E47" s="13"/>
      <c r="F47" s="9"/>
      <c r="G47" s="9"/>
      <c r="H47" s="89"/>
      <c r="I47" s="9"/>
      <c r="J47" s="9"/>
      <c r="K47" s="9"/>
      <c r="L47" s="75"/>
      <c r="M47" s="22"/>
      <c r="N47" s="75"/>
      <c r="O47" s="11"/>
    </row>
    <row r="48" spans="1:15" ht="27">
      <c r="A48" s="2689" t="s">
        <v>1698</v>
      </c>
      <c r="B48" s="75" t="s">
        <v>1371</v>
      </c>
      <c r="C48" s="1333">
        <v>4.0000000000000002E-4</v>
      </c>
      <c r="D48" s="9" t="s">
        <v>677</v>
      </c>
      <c r="E48" s="13"/>
      <c r="F48" s="9"/>
      <c r="G48" s="9"/>
      <c r="H48" s="89"/>
      <c r="I48" s="70">
        <f>$C48*$E$46*VLOOKUP($B48,'Standard values'!$C$9:$S$159,7, FALSE)/$E$158</f>
        <v>9.0948385881260807E-2</v>
      </c>
      <c r="J48" s="70">
        <f>$C48*$E$46*VLOOKUP($B48,'Standard values'!$C$9:$S$159,8, FALSE)/$E$158</f>
        <v>2.2179717349869472E-4</v>
      </c>
      <c r="K48" s="70">
        <f>$C48*$E$46*VLOOKUP($B48,'Standard values'!$C$9:$S$159,9, FALSE)/$E$158</f>
        <v>4.1201360847942346E-6</v>
      </c>
      <c r="L48" s="106">
        <f>I48*'Standard values'!$D$10+J48*'Standard values'!$D$11+K48*'Standard values'!$D$12</f>
        <v>9.7721115771996853E-2</v>
      </c>
      <c r="M48" s="22"/>
      <c r="N48" s="2787">
        <f>+L48/$E$24</f>
        <v>0.76342363627777776</v>
      </c>
      <c r="O48" s="11"/>
    </row>
    <row r="49" spans="1:15">
      <c r="A49" s="1331"/>
      <c r="B49" s="75"/>
      <c r="C49" s="568"/>
      <c r="D49" s="9"/>
      <c r="E49" s="13"/>
      <c r="F49" s="9"/>
      <c r="G49" s="9"/>
      <c r="H49" s="89"/>
      <c r="I49" s="9"/>
      <c r="J49" s="9"/>
      <c r="K49" s="9"/>
      <c r="L49" s="75"/>
      <c r="M49" s="22"/>
      <c r="N49" s="11"/>
      <c r="O49" s="11"/>
    </row>
    <row r="50" spans="1:15" ht="14.25">
      <c r="A50" s="161"/>
      <c r="B50" s="162"/>
      <c r="C50" s="162"/>
      <c r="D50" s="162"/>
      <c r="E50" s="161"/>
      <c r="F50" s="163"/>
      <c r="G50" s="163"/>
      <c r="H50" s="1243" t="s">
        <v>792</v>
      </c>
      <c r="I50" s="162"/>
      <c r="J50" s="164" t="s">
        <v>679</v>
      </c>
      <c r="K50" s="167"/>
      <c r="L50" s="166">
        <f>L48</f>
        <v>9.7721115771996853E-2</v>
      </c>
      <c r="M50" s="22"/>
      <c r="N50" s="11"/>
      <c r="O50" s="11"/>
    </row>
    <row r="51" spans="1:15">
      <c r="A51" s="11"/>
      <c r="B51" s="11"/>
      <c r="C51" s="11"/>
      <c r="D51" s="11"/>
      <c r="E51" s="11"/>
      <c r="F51" s="43"/>
      <c r="G51" s="43"/>
      <c r="H51" s="43"/>
      <c r="I51" s="11"/>
      <c r="J51" s="44"/>
      <c r="K51" s="45"/>
      <c r="L51" s="46"/>
      <c r="M51" s="22"/>
      <c r="N51" s="11"/>
      <c r="O51" s="11"/>
    </row>
    <row r="52" spans="1:15" ht="13.5" thickBot="1">
      <c r="A52" s="11"/>
      <c r="B52" s="11"/>
      <c r="C52" s="11"/>
      <c r="D52" s="11"/>
      <c r="E52" s="11"/>
      <c r="F52" s="11"/>
      <c r="G52" s="11"/>
      <c r="H52" s="11"/>
      <c r="I52" s="25"/>
      <c r="J52" s="25"/>
      <c r="K52" s="25"/>
      <c r="L52" s="25"/>
      <c r="M52" s="22"/>
      <c r="N52" s="11"/>
      <c r="O52" s="11"/>
    </row>
    <row r="53" spans="1:15" ht="15.75">
      <c r="A53" s="158" t="s">
        <v>674</v>
      </c>
      <c r="B53" s="160"/>
      <c r="C53" s="160"/>
      <c r="D53" s="160"/>
      <c r="E53" s="3200" t="s">
        <v>800</v>
      </c>
      <c r="F53" s="3198"/>
      <c r="G53" s="3198"/>
      <c r="H53" s="3198"/>
      <c r="I53" s="3198" t="s">
        <v>788</v>
      </c>
      <c r="J53" s="3198"/>
      <c r="K53" s="3198"/>
      <c r="L53" s="3199"/>
      <c r="M53" s="22"/>
      <c r="N53" s="1152" t="s">
        <v>789</v>
      </c>
      <c r="O53" s="11"/>
    </row>
    <row r="54" spans="1:15" ht="15.75">
      <c r="A54" s="1328" t="s">
        <v>667</v>
      </c>
      <c r="B54" s="1329" t="s">
        <v>1440</v>
      </c>
      <c r="C54" s="1334">
        <v>0.99009900990099009</v>
      </c>
      <c r="D54" s="1148" t="s">
        <v>675</v>
      </c>
      <c r="E54" s="99">
        <f>E45*C54</f>
        <v>75828.542788605351</v>
      </c>
      <c r="F54" s="1148" t="s">
        <v>672</v>
      </c>
      <c r="G54" s="9"/>
      <c r="H54" s="1335"/>
      <c r="I54" s="3294" t="s">
        <v>633</v>
      </c>
      <c r="J54" s="3295"/>
      <c r="K54" s="3295"/>
      <c r="L54" s="3296"/>
      <c r="M54" s="22"/>
      <c r="N54" s="1284" t="s">
        <v>661</v>
      </c>
      <c r="O54" s="11"/>
    </row>
    <row r="55" spans="1:15" ht="15.75">
      <c r="A55" s="3286" t="s">
        <v>722</v>
      </c>
      <c r="B55" s="1330"/>
      <c r="C55" s="75"/>
      <c r="D55" s="9"/>
      <c r="E55" s="109">
        <f>E46*C54</f>
        <v>0.99009900990099009</v>
      </c>
      <c r="F55" s="1148" t="s">
        <v>676</v>
      </c>
      <c r="G55" s="79"/>
      <c r="H55" s="89"/>
      <c r="I55" s="23" t="s">
        <v>709</v>
      </c>
      <c r="J55" s="23" t="s">
        <v>710</v>
      </c>
      <c r="K55" s="23" t="s">
        <v>711</v>
      </c>
      <c r="L55" s="32" t="s">
        <v>716</v>
      </c>
      <c r="M55" s="22"/>
      <c r="N55" s="3177" t="s">
        <v>622</v>
      </c>
      <c r="O55" s="11"/>
    </row>
    <row r="56" spans="1:15">
      <c r="A56" s="3286"/>
      <c r="B56" s="1329" t="s">
        <v>1407</v>
      </c>
      <c r="C56" s="75"/>
      <c r="D56" s="9"/>
      <c r="E56" s="109"/>
      <c r="F56" s="79"/>
      <c r="G56" s="79"/>
      <c r="H56" s="89"/>
      <c r="I56" s="41"/>
      <c r="J56" s="41"/>
      <c r="K56" s="41"/>
      <c r="L56" s="74"/>
      <c r="M56" s="22"/>
      <c r="N56" s="3178"/>
      <c r="O56" s="11"/>
    </row>
    <row r="57" spans="1:15" ht="16.5" thickBot="1">
      <c r="A57" s="1232" t="s">
        <v>702</v>
      </c>
      <c r="B57" s="1232" t="s">
        <v>1360</v>
      </c>
      <c r="C57" s="1333">
        <v>50</v>
      </c>
      <c r="D57" s="1148" t="s">
        <v>704</v>
      </c>
      <c r="E57" s="110">
        <f>(C57*E55)/(VLOOKUP($B54,'Standard values'!$C$9:$S$159,14, FALSE))/(1-$C$23)/1000</f>
        <v>3.3665386259809252E-3</v>
      </c>
      <c r="F57" s="9" t="s">
        <v>575</v>
      </c>
      <c r="G57" s="9"/>
      <c r="H57" s="89"/>
      <c r="I57" s="70">
        <f>$E57*VLOOKUP($B57,'Standard values'!$C$9:$S$159,15, FALSE)*VLOOKUP(C58,'Standard values'!$C$9:$S$159,7, FALSE)/$E$158</f>
        <v>0.51980943397446866</v>
      </c>
      <c r="J57" s="70">
        <f>$E57*((VLOOKUP($B57,'Standard values'!$C$9:$S$159,15, FALSE)*VLOOKUP(C58,'Standard values'!$C$9:$S$159,8, FALSE))+VLOOKUP($B57,'Standard values'!$C$9:$S$159,16, FALSE))/$E$158</f>
        <v>3.168410544766967E-5</v>
      </c>
      <c r="K57" s="1280">
        <f>$E57*((VLOOKUP($B57,'Standard values'!$C$9:$S$159,15, FALSE)*VLOOKUP(C58,'Standard values'!$C$9:$S$159,9, FALSE))+VLOOKUP($B57,'Standard values'!$C$9:$S$159,17, FALSE))/$E$158</f>
        <v>0</v>
      </c>
      <c r="L57" s="550">
        <f>I57*'Standard values'!$D$10+J57*'Standard values'!$D$11+K57*'Standard values'!$D$12</f>
        <v>0.52060153661066044</v>
      </c>
      <c r="M57" s="22"/>
      <c r="N57" s="2788">
        <f>+L57/$E$24</f>
        <v>4.0670792079207922</v>
      </c>
      <c r="O57" s="11"/>
    </row>
    <row r="58" spans="1:15">
      <c r="A58" s="3286" t="s">
        <v>703</v>
      </c>
      <c r="B58" s="3287" t="s">
        <v>1374</v>
      </c>
      <c r="C58" s="3289" t="s">
        <v>1413</v>
      </c>
      <c r="D58" s="9"/>
      <c r="E58" s="110"/>
      <c r="F58" s="9"/>
      <c r="G58" s="9"/>
      <c r="H58" s="89"/>
      <c r="I58" s="70"/>
      <c r="J58" s="70"/>
      <c r="K58" s="1280"/>
      <c r="L58" s="550"/>
      <c r="M58" s="22"/>
      <c r="N58" s="11"/>
      <c r="O58" s="11"/>
    </row>
    <row r="59" spans="1:15">
      <c r="A59" s="3286"/>
      <c r="B59" s="3288"/>
      <c r="C59" s="3235"/>
      <c r="D59" s="9"/>
      <c r="E59" s="13"/>
      <c r="F59" s="9"/>
      <c r="G59" s="9"/>
      <c r="H59" s="1336"/>
      <c r="I59" s="70"/>
      <c r="J59" s="70"/>
      <c r="K59" s="1280"/>
      <c r="L59" s="550"/>
      <c r="M59" s="22"/>
      <c r="N59" s="11"/>
      <c r="O59" s="11"/>
    </row>
    <row r="60" spans="1:15" ht="14.25">
      <c r="A60" s="161"/>
      <c r="B60" s="162"/>
      <c r="C60" s="162"/>
      <c r="D60" s="162"/>
      <c r="E60" s="161"/>
      <c r="F60" s="163"/>
      <c r="G60" s="163"/>
      <c r="H60" s="1243" t="s">
        <v>792</v>
      </c>
      <c r="I60" s="162"/>
      <c r="J60" s="164" t="s">
        <v>574</v>
      </c>
      <c r="K60" s="1337"/>
      <c r="L60" s="166">
        <f>L57</f>
        <v>0.52060153661066044</v>
      </c>
      <c r="M60" s="22"/>
      <c r="N60" s="11"/>
      <c r="O60" s="11"/>
    </row>
    <row r="61" spans="1:15">
      <c r="A61" s="11"/>
      <c r="B61" s="11"/>
      <c r="C61" s="11"/>
      <c r="D61" s="11"/>
      <c r="E61" s="11"/>
      <c r="F61" s="43"/>
      <c r="G61" s="43"/>
      <c r="H61" s="43"/>
      <c r="I61" s="11"/>
      <c r="J61" s="44"/>
      <c r="K61" s="45"/>
      <c r="L61" s="46"/>
      <c r="M61" s="22"/>
      <c r="N61" s="22"/>
      <c r="O61" s="22"/>
    </row>
    <row r="62" spans="1:15">
      <c r="A62" s="11"/>
      <c r="B62" s="11"/>
      <c r="C62" s="11"/>
      <c r="D62" s="11"/>
      <c r="E62" s="11"/>
      <c r="F62" s="11"/>
      <c r="G62" s="11"/>
      <c r="H62" s="11"/>
      <c r="I62" s="11"/>
      <c r="J62" s="11"/>
      <c r="K62" s="11"/>
      <c r="L62" s="42"/>
      <c r="M62" s="22"/>
      <c r="N62" s="22"/>
      <c r="O62" s="22"/>
    </row>
    <row r="63" spans="1:15" ht="15.75">
      <c r="A63" s="168" t="s">
        <v>799</v>
      </c>
      <c r="B63" s="169"/>
      <c r="C63" s="169"/>
      <c r="D63" s="169"/>
      <c r="E63" s="3153" t="s">
        <v>800</v>
      </c>
      <c r="F63" s="3154"/>
      <c r="G63" s="3154"/>
      <c r="H63" s="3154"/>
      <c r="I63" s="3154" t="s">
        <v>788</v>
      </c>
      <c r="J63" s="3154"/>
      <c r="K63" s="3154"/>
      <c r="L63" s="3155"/>
      <c r="M63" s="22"/>
      <c r="N63" s="134" t="s">
        <v>789</v>
      </c>
      <c r="O63" s="22"/>
    </row>
    <row r="64" spans="1:15">
      <c r="A64" s="13"/>
      <c r="B64" s="10" t="s">
        <v>1428</v>
      </c>
      <c r="C64" s="9"/>
      <c r="D64" s="9"/>
      <c r="E64" s="99"/>
      <c r="F64" s="9"/>
      <c r="G64" s="9"/>
      <c r="H64" s="9"/>
      <c r="I64" s="3156" t="s">
        <v>633</v>
      </c>
      <c r="J64" s="3144"/>
      <c r="K64" s="3144"/>
      <c r="L64" s="3145"/>
      <c r="M64" s="22"/>
      <c r="N64" s="126" t="s">
        <v>715</v>
      </c>
      <c r="O64" s="22"/>
    </row>
    <row r="65" spans="1:15" ht="15.75">
      <c r="A65" s="1328" t="s">
        <v>720</v>
      </c>
      <c r="B65" s="1330" t="s">
        <v>1408</v>
      </c>
      <c r="C65" s="1340">
        <v>0.53657882465020257</v>
      </c>
      <c r="D65" s="1330" t="s">
        <v>584</v>
      </c>
      <c r="E65" s="99">
        <f>E54*C65</f>
        <v>40687.990364447454</v>
      </c>
      <c r="F65" s="1148" t="s">
        <v>598</v>
      </c>
      <c r="G65" s="9"/>
      <c r="H65" s="9"/>
      <c r="I65" s="1413" t="s">
        <v>709</v>
      </c>
      <c r="J65" s="1414" t="s">
        <v>710</v>
      </c>
      <c r="K65" s="1414" t="s">
        <v>711</v>
      </c>
      <c r="L65" s="1416" t="s">
        <v>716</v>
      </c>
      <c r="M65" s="22"/>
      <c r="N65" s="1323" t="s">
        <v>622</v>
      </c>
      <c r="O65" s="22"/>
    </row>
    <row r="66" spans="1:15" ht="15.75">
      <c r="A66" s="2703" t="s">
        <v>1721</v>
      </c>
      <c r="B66" s="1341" t="s">
        <v>1198</v>
      </c>
      <c r="C66" s="1339">
        <v>1.1399999999999999</v>
      </c>
      <c r="D66" s="1341" t="s">
        <v>585</v>
      </c>
      <c r="E66" s="109">
        <f>E55*C65</f>
        <v>0.53126616302000251</v>
      </c>
      <c r="F66" s="1148" t="s">
        <v>676</v>
      </c>
      <c r="G66" s="79"/>
      <c r="H66" s="9"/>
      <c r="I66" s="13"/>
      <c r="J66" s="75"/>
      <c r="K66" s="75"/>
      <c r="L66" s="75"/>
      <c r="M66" s="22"/>
      <c r="N66" s="75"/>
      <c r="O66" s="22"/>
    </row>
    <row r="67" spans="1:15" ht="15.75">
      <c r="A67" s="1253"/>
      <c r="B67" s="79"/>
      <c r="C67" s="80"/>
      <c r="D67" s="79"/>
      <c r="E67" s="567">
        <f>E65/$E$157/VLOOKUP($B65,'Standard values'!$C$9:$S$159,14, FALSE)</f>
        <v>3.7299515106303617E-2</v>
      </c>
      <c r="F67" s="1148" t="s">
        <v>599</v>
      </c>
      <c r="G67" s="9"/>
      <c r="H67" s="9"/>
      <c r="I67" s="13"/>
      <c r="J67" s="75"/>
      <c r="K67" s="75"/>
      <c r="L67" s="75"/>
      <c r="M67" s="22"/>
      <c r="N67" s="114"/>
      <c r="O67" s="22"/>
    </row>
    <row r="68" spans="1:15">
      <c r="A68" s="1208" t="s">
        <v>688</v>
      </c>
      <c r="B68" s="10" t="s">
        <v>1429</v>
      </c>
      <c r="C68" s="13"/>
      <c r="D68" s="75"/>
      <c r="E68" s="36"/>
      <c r="F68" s="9"/>
      <c r="G68" s="9"/>
      <c r="H68" s="9"/>
      <c r="I68" s="13"/>
      <c r="J68" s="75"/>
      <c r="K68" s="75"/>
      <c r="L68" s="75"/>
      <c r="M68" s="22"/>
      <c r="N68" s="114"/>
      <c r="O68" s="22"/>
    </row>
    <row r="69" spans="1:15" ht="30.75" customHeight="1">
      <c r="A69" s="1347" t="s">
        <v>576</v>
      </c>
      <c r="B69" s="1341" t="s">
        <v>814</v>
      </c>
      <c r="C69" s="1345">
        <f>1.4*0.0540842969041402</f>
        <v>7.5718015665796265E-2</v>
      </c>
      <c r="D69" s="1341" t="s">
        <v>589</v>
      </c>
      <c r="E69" s="3311" t="s">
        <v>588</v>
      </c>
      <c r="F69" s="3312"/>
      <c r="G69" s="3312"/>
      <c r="H69" s="3312"/>
      <c r="I69" s="1235"/>
      <c r="J69" s="81"/>
      <c r="K69" s="81"/>
      <c r="L69" s="1175"/>
      <c r="M69" s="22"/>
      <c r="N69" s="114"/>
      <c r="O69" s="22"/>
    </row>
    <row r="70" spans="1:15" ht="15.75">
      <c r="A70" s="1346" t="s">
        <v>577</v>
      </c>
      <c r="B70" s="1330" t="s">
        <v>887</v>
      </c>
      <c r="C70" s="1345">
        <f>1.4*0.36367027228646</f>
        <v>0.50913838120104393</v>
      </c>
      <c r="D70" s="1330" t="s">
        <v>732</v>
      </c>
      <c r="E70" s="13"/>
      <c r="F70" s="9"/>
      <c r="G70" s="9"/>
      <c r="H70" s="9"/>
      <c r="I70" s="1235"/>
      <c r="J70" s="1244"/>
      <c r="K70" s="1244"/>
      <c r="L70" s="1175"/>
      <c r="M70" s="22"/>
      <c r="N70" s="114"/>
      <c r="O70" s="22"/>
    </row>
    <row r="71" spans="1:15">
      <c r="A71" s="1348" t="s">
        <v>578</v>
      </c>
      <c r="B71" s="1353" t="s">
        <v>937</v>
      </c>
      <c r="C71" s="1354"/>
      <c r="D71" s="1355"/>
      <c r="E71" s="6"/>
      <c r="F71" s="1"/>
      <c r="G71" s="1"/>
      <c r="H71" s="1"/>
      <c r="I71" s="3290" t="s">
        <v>586</v>
      </c>
      <c r="J71" s="3290"/>
      <c r="K71" s="3290"/>
      <c r="L71" s="3291"/>
      <c r="M71" s="22"/>
      <c r="N71" s="114"/>
      <c r="O71" s="22"/>
    </row>
    <row r="72" spans="1:15" ht="30.75" customHeight="1">
      <c r="A72" s="1349" t="s">
        <v>579</v>
      </c>
      <c r="B72" s="1356" t="s">
        <v>1487</v>
      </c>
      <c r="C72" s="1357"/>
      <c r="D72" s="1355"/>
      <c r="E72" s="6"/>
      <c r="F72" s="1"/>
      <c r="G72" s="1"/>
      <c r="H72" s="1"/>
      <c r="I72" s="1342">
        <f>$C70*$E$66*VLOOKUP($B72,'Standard values'!$C$9:$S$156,7, FALSE)/$E$158</f>
        <v>0</v>
      </c>
      <c r="J72" s="5">
        <f>$C70*$E$66*VLOOKUP($B72,'Standard values'!$C$9:$S$156,8, FALSE)/$E$158</f>
        <v>1.1738468233246291E-3</v>
      </c>
      <c r="K72" s="563">
        <f>$C70*$E$66*VLOOKUP($B72,'Standard values'!$C$9:$S$156,9, FALSE)/$E$158</f>
        <v>6.4208006962576097E-3</v>
      </c>
      <c r="L72" s="561">
        <f>I72*'Standard values'!$D$10+J72*'Standard values'!$D$11+K72*'Standard values'!$D$12</f>
        <v>1.9427447780678835</v>
      </c>
      <c r="M72" s="22"/>
      <c r="N72" s="114">
        <f>+L72/$E$67</f>
        <v>52.084987499999954</v>
      </c>
      <c r="O72" s="22"/>
    </row>
    <row r="73" spans="1:15">
      <c r="A73" s="1350" t="s">
        <v>580</v>
      </c>
      <c r="B73" s="1358" t="s">
        <v>811</v>
      </c>
      <c r="C73" s="1359">
        <v>1.4049</v>
      </c>
      <c r="D73" s="1351" t="s">
        <v>590</v>
      </c>
      <c r="E73" s="6"/>
      <c r="F73" s="1"/>
      <c r="G73" s="1"/>
      <c r="H73" s="1"/>
      <c r="I73" s="1342"/>
      <c r="J73" s="562"/>
      <c r="K73" s="1338"/>
      <c r="L73" s="561"/>
      <c r="M73" s="22"/>
      <c r="N73" s="114"/>
      <c r="O73" s="22"/>
    </row>
    <row r="74" spans="1:15" ht="15.75">
      <c r="A74" s="1350" t="s">
        <v>581</v>
      </c>
      <c r="B74" s="1358" t="s">
        <v>1442</v>
      </c>
      <c r="C74" s="1357">
        <f>C73*C70</f>
        <v>0.7152885117493466</v>
      </c>
      <c r="D74" s="1351" t="s">
        <v>732</v>
      </c>
      <c r="E74" s="6"/>
      <c r="F74" s="1"/>
      <c r="G74" s="1"/>
      <c r="H74" s="1"/>
      <c r="I74" s="1342">
        <f>$C74*$E$66*VLOOKUP($B74,'Standard values'!$C$9:$S$159,7, FALSE)/$E$158</f>
        <v>83.515020242819773</v>
      </c>
      <c r="J74" s="5">
        <f>$C74*$E$66*VLOOKUP($B74,'Standard values'!$C$9:$S$159,8, FALSE)/$E$158</f>
        <v>6.4773348563968601E-3</v>
      </c>
      <c r="K74" s="563">
        <f>$C74*$E$66*VLOOKUP($B74,'Standard values'!$C$9:$S$159,9, FALSE)/$E$158</f>
        <v>3.973825065274148E-5</v>
      </c>
      <c r="L74" s="561">
        <f>I74*'Standard values'!$D$10+J74*'Standard values'!$D$11+K74*'Standard values'!$D$12</f>
        <v>83.68879561292421</v>
      </c>
      <c r="M74" s="22"/>
      <c r="N74" s="114">
        <f>+L74/$E$67</f>
        <v>2243.696610382498</v>
      </c>
      <c r="O74" s="22"/>
    </row>
    <row r="75" spans="1:15" ht="14.25">
      <c r="A75" s="1350" t="s">
        <v>582</v>
      </c>
      <c r="B75" s="1358" t="s">
        <v>812</v>
      </c>
      <c r="C75" s="1359">
        <v>-0.22220000000000001</v>
      </c>
      <c r="D75" s="1351" t="s">
        <v>591</v>
      </c>
      <c r="E75" s="6"/>
      <c r="F75" s="1"/>
      <c r="G75" s="1"/>
      <c r="H75" s="1"/>
      <c r="I75" s="1342"/>
      <c r="J75" s="562"/>
      <c r="K75" s="1338"/>
      <c r="L75" s="561"/>
      <c r="M75" s="22"/>
      <c r="N75" s="114"/>
      <c r="O75" s="22"/>
    </row>
    <row r="76" spans="1:15" ht="15.75">
      <c r="A76" s="1350" t="s">
        <v>583</v>
      </c>
      <c r="B76" s="1358" t="s">
        <v>813</v>
      </c>
      <c r="C76" s="1357">
        <f>C75*C70</f>
        <v>-0.11313054830287196</v>
      </c>
      <c r="D76" s="1351" t="s">
        <v>732</v>
      </c>
      <c r="E76" s="2700" t="s">
        <v>1717</v>
      </c>
      <c r="F76" s="1"/>
      <c r="G76" s="1"/>
      <c r="H76" s="1"/>
      <c r="I76" s="1342"/>
      <c r="J76" s="562"/>
      <c r="K76" s="1338"/>
      <c r="L76" s="561"/>
      <c r="M76" s="22"/>
      <c r="N76" s="114"/>
      <c r="O76" s="22"/>
    </row>
    <row r="77" spans="1:15" ht="15.75">
      <c r="A77" s="1351" t="s">
        <v>592</v>
      </c>
      <c r="B77" s="1358" t="str">
        <f>IF(C77&gt;0, "Electricity EU mix MV", "Electricity (Lignite ST)")</f>
        <v>Electricity (Lignite ST)</v>
      </c>
      <c r="C77" s="1357">
        <f>C76+C69</f>
        <v>-3.7412532637075696E-2</v>
      </c>
      <c r="D77" s="1351" t="s">
        <v>732</v>
      </c>
      <c r="E77" s="6" t="str">
        <f>IF(C77&gt;0, "Використання е/е на етаноловому заводі більше за виробництво", "Надлишки е/е. Розраховується за")</f>
        <v>Надлишки е/е. Розраховується за</v>
      </c>
      <c r="F77" s="1"/>
      <c r="G77" s="1"/>
      <c r="H77" s="1"/>
      <c r="I77" s="1342">
        <f>$C77*$E$66*VLOOKUP($B77,'Standard values'!$C$9:$S$159,7, FALSE)/$E$158</f>
        <v>-10.653989142104432</v>
      </c>
      <c r="J77" s="5">
        <f>$C77*$E$66*VLOOKUP($B77,'Standard values'!$C$9:$S$159,8, FALSE)/$E$158</f>
        <v>-9.6737793487090156E-4</v>
      </c>
      <c r="K77" s="563">
        <f>$C77*$E$66*VLOOKUP($B77,'Standard values'!$C$9:$S$159,9, FALSE)/$E$158</f>
        <v>-2.9100507122135173E-4</v>
      </c>
      <c r="L77" s="561">
        <f>I77*'Standard values'!$D$10+J77*'Standard values'!$D$11+K77*'Standard values'!$D$12</f>
        <v>-10.764893101700167</v>
      </c>
      <c r="M77" s="22"/>
      <c r="N77" s="114">
        <f>+L77/$E$67</f>
        <v>-288.60678405658149</v>
      </c>
      <c r="O77" s="22"/>
    </row>
    <row r="78" spans="1:15">
      <c r="A78" s="1352"/>
      <c r="B78" s="1360"/>
      <c r="C78" s="1361"/>
      <c r="D78" s="1362"/>
      <c r="E78" s="1344" t="str">
        <f>IF(C77&gt;0, "   in Lignite CHP. Therefore calculated as EU Mix MV", "   ДВДЕ Додаток V.C.16")</f>
        <v xml:space="preserve">   ДВДЕ Додаток V.C.16</v>
      </c>
      <c r="F78" s="1"/>
      <c r="G78" s="1"/>
      <c r="H78" s="1"/>
      <c r="I78" s="1342"/>
      <c r="J78" s="5"/>
      <c r="K78" s="563"/>
      <c r="L78" s="561"/>
      <c r="M78" s="22"/>
      <c r="N78" s="114"/>
      <c r="O78" s="22"/>
    </row>
    <row r="79" spans="1:15" ht="12" customHeight="1">
      <c r="A79" s="13"/>
      <c r="B79" s="10"/>
      <c r="C79" s="9"/>
      <c r="D79" s="9"/>
      <c r="E79" s="13"/>
      <c r="F79" s="9"/>
      <c r="G79" s="9"/>
      <c r="H79" s="18" t="s">
        <v>770</v>
      </c>
      <c r="I79" s="1343">
        <f>SUM(I68:I77)</f>
        <v>72.861031100715337</v>
      </c>
      <c r="J79" s="82">
        <f>SUM(J68:J77)</f>
        <v>6.6838037448505878E-3</v>
      </c>
      <c r="K79" s="436">
        <f>SUM(K68:K77)</f>
        <v>6.1695338756890001E-3</v>
      </c>
      <c r="L79" s="106">
        <f>I79*'Standard values'!$D$10+J79*'Standard values'!$D$11+K79*'Standard values'!$D$12</f>
        <v>74.866647289291933</v>
      </c>
      <c r="M79" s="22"/>
      <c r="N79" s="1325">
        <f>+L79/$E$67</f>
        <v>2007.1748138259168</v>
      </c>
      <c r="O79" s="22"/>
    </row>
    <row r="80" spans="1:15" hidden="1">
      <c r="A80" s="13"/>
      <c r="B80" s="83"/>
      <c r="C80" s="37"/>
      <c r="D80" s="37"/>
      <c r="E80" s="13"/>
      <c r="F80" s="9"/>
      <c r="G80" s="9"/>
      <c r="H80" s="9"/>
      <c r="I80" s="13"/>
      <c r="J80" s="9"/>
      <c r="K80" s="75"/>
      <c r="L80" s="75"/>
      <c r="M80" s="22"/>
      <c r="N80" s="11"/>
      <c r="O80" s="22"/>
    </row>
    <row r="81" spans="1:15" ht="14.25">
      <c r="A81" s="161"/>
      <c r="B81" s="162"/>
      <c r="C81" s="162"/>
      <c r="D81" s="162"/>
      <c r="E81" s="161"/>
      <c r="F81" s="163"/>
      <c r="G81" s="163"/>
      <c r="H81" s="163" t="s">
        <v>792</v>
      </c>
      <c r="I81" s="162"/>
      <c r="J81" s="164" t="s">
        <v>743</v>
      </c>
      <c r="K81" s="167"/>
      <c r="L81" s="166">
        <f>L79</f>
        <v>74.866647289291933</v>
      </c>
      <c r="M81" s="22"/>
      <c r="N81" s="11"/>
      <c r="O81" s="22"/>
    </row>
    <row r="82" spans="1:15">
      <c r="A82" s="11"/>
      <c r="B82" s="11"/>
      <c r="C82" s="11"/>
      <c r="D82" s="11"/>
      <c r="E82" s="11"/>
      <c r="F82" s="43"/>
      <c r="G82" s="43"/>
      <c r="H82" s="43"/>
      <c r="I82" s="11"/>
      <c r="J82" s="44"/>
      <c r="K82" s="45"/>
      <c r="L82" s="53"/>
      <c r="M82" s="22"/>
      <c r="N82" s="11"/>
      <c r="O82" s="11"/>
    </row>
    <row r="83" spans="1:15">
      <c r="A83" s="11"/>
      <c r="B83" s="11"/>
      <c r="C83" s="11"/>
      <c r="D83" s="11"/>
      <c r="E83" s="11"/>
      <c r="F83" s="43"/>
      <c r="G83" s="43"/>
      <c r="H83" s="43"/>
      <c r="I83" s="11"/>
      <c r="J83" s="44"/>
      <c r="K83" s="45"/>
      <c r="L83" s="53"/>
      <c r="M83" s="22"/>
      <c r="N83" s="11"/>
      <c r="O83" s="11"/>
    </row>
    <row r="84" spans="1:15" ht="15.75">
      <c r="A84" s="168" t="s">
        <v>735</v>
      </c>
      <c r="B84" s="169"/>
      <c r="C84" s="169"/>
      <c r="D84" s="169"/>
      <c r="E84" s="3292" t="s">
        <v>805</v>
      </c>
      <c r="F84" s="3207"/>
      <c r="G84" s="3207"/>
      <c r="H84" s="3208"/>
      <c r="I84" s="3202" t="s">
        <v>743</v>
      </c>
      <c r="J84" s="3202"/>
      <c r="K84" s="3202"/>
      <c r="L84" s="3284">
        <f>L41+L50+L60+L81</f>
        <v>114.85246164918189</v>
      </c>
      <c r="M84" s="22"/>
      <c r="N84" s="134" t="s">
        <v>789</v>
      </c>
      <c r="O84" s="11"/>
    </row>
    <row r="85" spans="1:15" ht="15.75">
      <c r="A85" s="175" t="s">
        <v>804</v>
      </c>
      <c r="B85" s="176"/>
      <c r="C85" s="176"/>
      <c r="D85" s="176"/>
      <c r="E85" s="3293"/>
      <c r="F85" s="3209"/>
      <c r="G85" s="3209"/>
      <c r="H85" s="3210"/>
      <c r="I85" s="3205"/>
      <c r="J85" s="3205"/>
      <c r="K85" s="3205"/>
      <c r="L85" s="3285"/>
      <c r="M85" s="22"/>
      <c r="N85" s="126" t="s">
        <v>715</v>
      </c>
      <c r="O85" s="11"/>
    </row>
    <row r="86" spans="1:15" ht="15.75">
      <c r="A86" s="6"/>
      <c r="B86" s="1"/>
      <c r="C86" s="1"/>
      <c r="D86" s="63"/>
      <c r="E86" s="3157" t="s">
        <v>551</v>
      </c>
      <c r="F86" s="3158"/>
      <c r="G86" s="3158"/>
      <c r="H86" s="3159"/>
      <c r="I86" s="132">
        <f>L84</f>
        <v>114.85246164918189</v>
      </c>
      <c r="J86" s="1263" t="s">
        <v>597</v>
      </c>
      <c r="K86" s="1"/>
      <c r="L86" s="560"/>
      <c r="M86" s="22"/>
      <c r="N86" s="1323" t="s">
        <v>716</v>
      </c>
      <c r="O86" s="11"/>
    </row>
    <row r="87" spans="1:15" ht="15.75">
      <c r="A87" s="1266" t="s">
        <v>736</v>
      </c>
      <c r="B87" s="1364" t="s">
        <v>745</v>
      </c>
      <c r="C87" s="1" t="s">
        <v>1408</v>
      </c>
      <c r="D87" s="1"/>
      <c r="E87" s="1369" t="s">
        <v>593</v>
      </c>
      <c r="F87" s="1363">
        <f>1*1000*VLOOKUP($C87,'Standard values'!$C$9:$S$159,14, FALSE)</f>
        <v>26810</v>
      </c>
      <c r="G87" s="64"/>
      <c r="H87" s="1268" t="s">
        <v>740</v>
      </c>
      <c r="I87" s="5">
        <f>$I$86*F87/F$89</f>
        <v>68.350599263364415</v>
      </c>
      <c r="J87" s="1263" t="s">
        <v>744</v>
      </c>
      <c r="K87" s="1"/>
      <c r="L87" s="560"/>
      <c r="M87" s="22"/>
      <c r="N87" s="75"/>
      <c r="O87" s="11"/>
    </row>
    <row r="88" spans="1:15" ht="15.75">
      <c r="A88" s="2702" t="s">
        <v>1719</v>
      </c>
      <c r="B88" s="2706" t="s">
        <v>1722</v>
      </c>
      <c r="C88" s="1365" t="s">
        <v>943</v>
      </c>
      <c r="D88" s="1"/>
      <c r="E88" s="1370" t="s">
        <v>594</v>
      </c>
      <c r="F88" s="1366">
        <f>C66*1000*VLOOKUP($C88,'Standard values'!$C$9:$S$159,14, FALSE)</f>
        <v>18240</v>
      </c>
      <c r="G88" s="1367"/>
      <c r="H88" s="1371" t="s">
        <v>740</v>
      </c>
      <c r="I88" s="1373">
        <f>$I$86*F88/F$89</f>
        <v>46.501862385817482</v>
      </c>
      <c r="J88" s="1368" t="s">
        <v>596</v>
      </c>
      <c r="K88" s="1173"/>
      <c r="L88" s="560"/>
      <c r="M88" s="22"/>
      <c r="N88" s="114"/>
      <c r="O88" s="11"/>
    </row>
    <row r="89" spans="1:15">
      <c r="A89" s="6"/>
      <c r="B89" s="1"/>
      <c r="C89" s="1"/>
      <c r="D89" s="1"/>
      <c r="E89" s="1372" t="s">
        <v>739</v>
      </c>
      <c r="F89" s="1363">
        <f>SUM(F87:F88)</f>
        <v>45050</v>
      </c>
      <c r="G89" s="64"/>
      <c r="H89" s="1268" t="s">
        <v>740</v>
      </c>
      <c r="I89" s="1"/>
      <c r="J89" s="1"/>
      <c r="K89" s="1"/>
      <c r="L89" s="560"/>
      <c r="M89" s="22"/>
      <c r="N89" s="114"/>
      <c r="O89" s="11"/>
    </row>
    <row r="90" spans="1:15" ht="14.25">
      <c r="A90" s="1412"/>
      <c r="B90" s="1442"/>
      <c r="C90" s="1442"/>
      <c r="D90" s="1442"/>
      <c r="E90" s="1443" t="s">
        <v>742</v>
      </c>
      <c r="F90" s="1444"/>
      <c r="G90" s="1444"/>
      <c r="H90" s="1445"/>
      <c r="I90" s="1442"/>
      <c r="J90" s="1446" t="s">
        <v>1451</v>
      </c>
      <c r="K90" s="1447"/>
      <c r="L90" s="1405">
        <f>I87</f>
        <v>68.350599263364415</v>
      </c>
      <c r="M90" s="22"/>
      <c r="N90" s="1325">
        <f>+L90/$E$67</f>
        <v>1832.4795662508</v>
      </c>
      <c r="O90" s="22"/>
    </row>
    <row r="91" spans="1:15">
      <c r="A91" s="11"/>
      <c r="B91" s="11"/>
      <c r="C91" s="11"/>
      <c r="D91" s="22"/>
      <c r="E91" s="22"/>
      <c r="F91" s="45"/>
      <c r="G91" s="45"/>
      <c r="H91" s="60"/>
      <c r="I91" s="52"/>
      <c r="J91" s="22"/>
      <c r="K91" s="22"/>
      <c r="L91" s="65"/>
      <c r="M91" s="22"/>
      <c r="N91" s="22"/>
      <c r="O91" s="22"/>
    </row>
    <row r="92" spans="1:15">
      <c r="A92" s="42"/>
      <c r="B92" s="53"/>
      <c r="C92" s="54"/>
      <c r="D92" s="11"/>
      <c r="E92" s="22"/>
      <c r="F92" s="22"/>
      <c r="G92" s="22"/>
      <c r="H92" s="22"/>
      <c r="I92" s="22"/>
      <c r="J92" s="59"/>
      <c r="K92" s="22"/>
      <c r="L92" s="22"/>
      <c r="M92" s="22"/>
      <c r="N92" s="22"/>
      <c r="O92" s="22"/>
    </row>
    <row r="93" spans="1:15" ht="15.75">
      <c r="A93" s="168" t="s">
        <v>802</v>
      </c>
      <c r="B93" s="170" t="s">
        <v>803</v>
      </c>
      <c r="C93" s="169"/>
      <c r="D93" s="169"/>
      <c r="E93" s="3153" t="s">
        <v>800</v>
      </c>
      <c r="F93" s="3154"/>
      <c r="G93" s="3154"/>
      <c r="H93" s="3155"/>
      <c r="I93" s="3238" t="s">
        <v>788</v>
      </c>
      <c r="J93" s="3239"/>
      <c r="K93" s="3239"/>
      <c r="L93" s="3239"/>
      <c r="M93" s="22"/>
      <c r="N93" s="134" t="s">
        <v>789</v>
      </c>
      <c r="O93" s="22"/>
    </row>
    <row r="94" spans="1:15" ht="15.75">
      <c r="A94" s="1327" t="s">
        <v>745</v>
      </c>
      <c r="B94" s="72" t="s">
        <v>1408</v>
      </c>
      <c r="C94" s="1375">
        <v>1</v>
      </c>
      <c r="D94" s="1148" t="s">
        <v>600</v>
      </c>
      <c r="E94" s="36">
        <f>E65*C94</f>
        <v>40687.990364447454</v>
      </c>
      <c r="F94" s="1148" t="s">
        <v>601</v>
      </c>
      <c r="G94" s="9"/>
      <c r="H94" s="84"/>
      <c r="I94" s="3156" t="s">
        <v>633</v>
      </c>
      <c r="J94" s="3144"/>
      <c r="K94" s="3144"/>
      <c r="L94" s="3145"/>
      <c r="M94" s="22"/>
      <c r="N94" s="126" t="s">
        <v>715</v>
      </c>
      <c r="O94" s="22"/>
    </row>
    <row r="95" spans="1:15" ht="15.75">
      <c r="A95" s="13"/>
      <c r="B95" s="13"/>
      <c r="C95" s="13"/>
      <c r="D95" s="9"/>
      <c r="E95" s="109">
        <f>E66*C94</f>
        <v>0.53126616302000251</v>
      </c>
      <c r="F95" s="1148" t="s">
        <v>676</v>
      </c>
      <c r="G95" s="79"/>
      <c r="H95" s="84"/>
      <c r="I95" s="1237" t="s">
        <v>709</v>
      </c>
      <c r="J95" s="1237" t="s">
        <v>710</v>
      </c>
      <c r="K95" s="1239" t="s">
        <v>711</v>
      </c>
      <c r="L95" s="1239" t="s">
        <v>716</v>
      </c>
      <c r="M95" s="22"/>
      <c r="N95" s="74" t="s">
        <v>1456</v>
      </c>
      <c r="O95" s="22"/>
    </row>
    <row r="96" spans="1:15">
      <c r="A96" s="1207" t="s">
        <v>722</v>
      </c>
      <c r="B96" s="72" t="s">
        <v>1407</v>
      </c>
      <c r="C96" s="13"/>
      <c r="D96" s="9"/>
      <c r="E96" s="36"/>
      <c r="F96" s="9"/>
      <c r="G96" s="9"/>
      <c r="H96" s="9"/>
      <c r="I96" s="13"/>
      <c r="J96" s="13"/>
      <c r="K96" s="75"/>
      <c r="L96" s="75"/>
      <c r="M96" s="22"/>
      <c r="N96" s="75"/>
      <c r="O96" s="22"/>
    </row>
    <row r="97" spans="1:15" ht="15.75">
      <c r="A97" s="1208" t="s">
        <v>631</v>
      </c>
      <c r="B97" s="13" t="s">
        <v>1184</v>
      </c>
      <c r="C97" s="1376">
        <f>2*150</f>
        <v>300</v>
      </c>
      <c r="D97" s="1148" t="s">
        <v>704</v>
      </c>
      <c r="E97" s="110">
        <f>(C97*E95/VLOOKUP($B94,'Standard values'!$C$9:$S$159,14, FALSE))/1000</f>
        <v>5.9447910819097633E-3</v>
      </c>
      <c r="F97" s="1148" t="s">
        <v>602</v>
      </c>
      <c r="G97" s="9"/>
      <c r="H97" s="9"/>
      <c r="I97" s="1235">
        <f>$E97*VLOOKUP($B97,'Standard values'!$C$9:$S$159,15, FALSE)*VLOOKUP(C98,'Standard values'!$C$9:$S$159,7, FALSE)/$E$158</f>
        <v>0.98851174934725838</v>
      </c>
      <c r="J97" s="1235">
        <f>$E97*((VLOOKUP($B97,'Standard values'!$C$9:$S$159,15, FALSE)*VLOOKUP(C98,'Standard values'!$C$9:$S$159,8, FALSE))+VLOOKUP($B97,'Standard values'!$C$9:$S$159,16, FALSE))/$E$158</f>
        <v>5.5949272659455427E-5</v>
      </c>
      <c r="K97" s="81">
        <f>$E97*((VLOOKUP($B97,'Standard values'!$C$9:$S$159,15, FALSE)*VLOOKUP(C98,'Standard values'!$C$9:$S$159,9, FALSE))+VLOOKUP($B97,'Standard values'!$C$9:$S$159,17, FALSE))/$E$158</f>
        <v>0</v>
      </c>
      <c r="L97" s="106">
        <f>I97*'Standard values'!$D$10+J97*'Standard values'!$D$11+K97*'Standard values'!$D$12</f>
        <v>0.9899104811637448</v>
      </c>
      <c r="M97" s="22"/>
      <c r="N97" s="114">
        <f t="shared" ref="N97:N102" si="1">+L97/$E$67</f>
        <v>26.5395</v>
      </c>
      <c r="O97" s="22"/>
    </row>
    <row r="98" spans="1:15">
      <c r="A98" s="1208" t="s">
        <v>703</v>
      </c>
      <c r="B98" s="1379" t="s">
        <v>1374</v>
      </c>
      <c r="C98" s="1377" t="s">
        <v>1413</v>
      </c>
      <c r="D98" s="9"/>
      <c r="E98" s="13"/>
      <c r="F98" s="9"/>
      <c r="G98" s="9"/>
      <c r="H98" s="9"/>
      <c r="I98" s="1235"/>
      <c r="J98" s="1235"/>
      <c r="K98" s="81"/>
      <c r="L98" s="106"/>
      <c r="M98" s="22"/>
      <c r="N98" s="114"/>
      <c r="O98" s="22"/>
    </row>
    <row r="99" spans="1:15">
      <c r="A99" s="75"/>
      <c r="B99" s="13"/>
      <c r="C99" s="1378"/>
      <c r="D99" s="9"/>
      <c r="E99" s="110"/>
      <c r="F99" s="9"/>
      <c r="G99" s="9"/>
      <c r="H99" s="9"/>
      <c r="I99" s="1235"/>
      <c r="J99" s="1235"/>
      <c r="K99" s="81"/>
      <c r="L99" s="106"/>
      <c r="M99" s="22"/>
      <c r="N99" s="436"/>
      <c r="O99" s="22"/>
    </row>
    <row r="100" spans="1:15">
      <c r="A100" s="1207" t="s">
        <v>632</v>
      </c>
      <c r="B100" s="72" t="s">
        <v>1457</v>
      </c>
      <c r="C100" s="13"/>
      <c r="D100" s="9"/>
      <c r="E100" s="13"/>
      <c r="F100" s="9"/>
      <c r="G100" s="9"/>
      <c r="H100" s="9"/>
      <c r="I100" s="1235"/>
      <c r="J100" s="1235"/>
      <c r="K100" s="81"/>
      <c r="L100" s="81"/>
      <c r="M100" s="22"/>
      <c r="N100" s="436"/>
      <c r="O100" s="22"/>
    </row>
    <row r="101" spans="1:15" ht="27">
      <c r="A101" s="2701" t="s">
        <v>1698</v>
      </c>
      <c r="B101" s="13" t="s">
        <v>1371</v>
      </c>
      <c r="C101" s="1376">
        <v>8.4000000000000003E-4</v>
      </c>
      <c r="D101" s="1148" t="s">
        <v>732</v>
      </c>
      <c r="E101" s="13"/>
      <c r="F101" s="9"/>
      <c r="G101" s="9"/>
      <c r="H101" s="9"/>
      <c r="I101" s="1235">
        <f>$C101*$E$95*VLOOKUP($B101,'Standard values'!$C$9:$S$159,7, FALSE)/$E$158</f>
        <v>0.10146738000000001</v>
      </c>
      <c r="J101" s="1235">
        <f>$C101*$E$95*VLOOKUP($B101,'Standard values'!$C$9:$S$159,8, FALSE)/$E$158</f>
        <v>2.4744999999999997E-4</v>
      </c>
      <c r="K101" s="81">
        <f>$C101*$E$95*VLOOKUP($B101,'Standard values'!$C$9:$S$159,9, FALSE)/$E$158</f>
        <v>4.5966666666666661E-6</v>
      </c>
      <c r="L101" s="106">
        <f>I101*'Standard values'!$D$10+J101*'Standard values'!$D$11+K101*'Standard values'!$D$12</f>
        <v>0.10902343666666668</v>
      </c>
      <c r="M101" s="22"/>
      <c r="N101" s="114">
        <f t="shared" si="1"/>
        <v>2.9229183370333338</v>
      </c>
      <c r="O101" s="22"/>
    </row>
    <row r="102" spans="1:15" ht="14.25">
      <c r="A102" s="161"/>
      <c r="B102" s="162"/>
      <c r="C102" s="162"/>
      <c r="D102" s="162"/>
      <c r="E102" s="161"/>
      <c r="F102" s="163"/>
      <c r="G102" s="163"/>
      <c r="H102" s="163" t="s">
        <v>792</v>
      </c>
      <c r="I102" s="161"/>
      <c r="J102" s="164" t="s">
        <v>743</v>
      </c>
      <c r="K102" s="167"/>
      <c r="L102" s="166">
        <f>L101+L97</f>
        <v>1.0989339178304114</v>
      </c>
      <c r="M102" s="22"/>
      <c r="N102" s="1325">
        <f t="shared" si="1"/>
        <v>29.462418337033331</v>
      </c>
      <c r="O102" s="22"/>
    </row>
    <row r="103" spans="1:15">
      <c r="A103" s="11"/>
      <c r="B103" s="11"/>
      <c r="C103" s="11"/>
      <c r="D103" s="11"/>
      <c r="E103" s="11"/>
      <c r="F103" s="43"/>
      <c r="G103" s="43"/>
      <c r="H103" s="43"/>
      <c r="I103" s="11"/>
      <c r="J103" s="44"/>
      <c r="K103" s="45"/>
      <c r="L103" s="46"/>
      <c r="M103" s="22"/>
      <c r="N103" s="11"/>
      <c r="O103" s="22"/>
    </row>
    <row r="104" spans="1:15">
      <c r="A104" s="11"/>
      <c r="B104" s="11"/>
      <c r="C104" s="11"/>
      <c r="D104" s="11"/>
      <c r="E104" s="11"/>
      <c r="F104" s="43"/>
      <c r="G104" s="43"/>
      <c r="H104" s="43"/>
      <c r="I104" s="11"/>
      <c r="J104" s="44"/>
      <c r="K104" s="45"/>
      <c r="L104" s="46"/>
      <c r="M104" s="22"/>
      <c r="N104" s="22"/>
      <c r="O104" s="22"/>
    </row>
    <row r="105" spans="1:15" ht="15.75">
      <c r="A105" s="168" t="s">
        <v>806</v>
      </c>
      <c r="B105" s="169"/>
      <c r="C105" s="169"/>
      <c r="D105" s="169"/>
      <c r="E105" s="3153" t="s">
        <v>800</v>
      </c>
      <c r="F105" s="3154"/>
      <c r="G105" s="3154"/>
      <c r="H105" s="3154"/>
      <c r="I105" s="182"/>
      <c r="J105" s="169"/>
      <c r="K105" s="169"/>
      <c r="L105" s="179"/>
      <c r="M105" s="22"/>
      <c r="N105" s="134" t="s">
        <v>789</v>
      </c>
      <c r="O105" s="22"/>
    </row>
    <row r="106" spans="1:15" ht="15.75">
      <c r="A106" s="3236" t="s">
        <v>807</v>
      </c>
      <c r="B106" s="3280"/>
      <c r="C106" s="423">
        <v>1</v>
      </c>
      <c r="D106" s="1148" t="s">
        <v>603</v>
      </c>
      <c r="E106" s="36">
        <f>E94*C106</f>
        <v>40687.990364447454</v>
      </c>
      <c r="F106" s="1148" t="s">
        <v>601</v>
      </c>
      <c r="G106" s="9"/>
      <c r="H106" s="9"/>
      <c r="I106" s="3156" t="s">
        <v>633</v>
      </c>
      <c r="J106" s="3144"/>
      <c r="K106" s="3144"/>
      <c r="L106" s="3145"/>
      <c r="M106" s="22"/>
      <c r="N106" s="126" t="s">
        <v>715</v>
      </c>
      <c r="O106" s="22"/>
    </row>
    <row r="107" spans="1:15" ht="15.75">
      <c r="A107" s="13"/>
      <c r="B107" s="9"/>
      <c r="C107" s="9"/>
      <c r="D107" s="9"/>
      <c r="E107" s="109">
        <f>E95*C106</f>
        <v>0.53126616302000251</v>
      </c>
      <c r="F107" s="1148" t="s">
        <v>676</v>
      </c>
      <c r="G107" s="79"/>
      <c r="H107" s="9"/>
      <c r="I107" s="1237" t="s">
        <v>709</v>
      </c>
      <c r="J107" s="1237" t="s">
        <v>710</v>
      </c>
      <c r="K107" s="1239" t="s">
        <v>711</v>
      </c>
      <c r="L107" s="1239" t="s">
        <v>716</v>
      </c>
      <c r="M107" s="22"/>
      <c r="N107" s="1239" t="s">
        <v>716</v>
      </c>
      <c r="O107" s="22"/>
    </row>
    <row r="108" spans="1:15">
      <c r="A108" s="1207" t="s">
        <v>632</v>
      </c>
      <c r="B108" s="10" t="s">
        <v>1429</v>
      </c>
      <c r="C108" s="9"/>
      <c r="D108" s="9"/>
      <c r="E108" s="13"/>
      <c r="F108" s="9"/>
      <c r="G108" s="9"/>
      <c r="H108" s="9"/>
      <c r="I108" s="1235"/>
      <c r="J108" s="1235"/>
      <c r="K108" s="81"/>
      <c r="L108" s="81"/>
      <c r="M108" s="22"/>
      <c r="N108" s="75"/>
      <c r="O108" s="22"/>
    </row>
    <row r="109" spans="1:15" ht="27">
      <c r="A109" s="2701" t="s">
        <v>1718</v>
      </c>
      <c r="B109" s="9" t="s">
        <v>1371</v>
      </c>
      <c r="C109" s="424">
        <v>3.3999999999999998E-3</v>
      </c>
      <c r="D109" s="1148" t="s">
        <v>732</v>
      </c>
      <c r="E109" s="13"/>
      <c r="F109" s="9"/>
      <c r="G109" s="9"/>
      <c r="H109" s="9"/>
      <c r="I109" s="1235">
        <f>$C109*$E$95*VLOOKUP($B109,'Standard values'!$C$9:$S$159,7, FALSE)/$E$158</f>
        <v>0.41070129999999999</v>
      </c>
      <c r="J109" s="1235">
        <f>$C109*$E$95*VLOOKUP($B109,'Standard values'!$C$9:$S$159,8, FALSE)/$E$158</f>
        <v>1.0015833333333333E-3</v>
      </c>
      <c r="K109" s="81">
        <f>$C109*$E$95*VLOOKUP($B109,'Standard values'!$C$9:$S$159,9, FALSE)/$E$158</f>
        <v>1.8605555555555555E-5</v>
      </c>
      <c r="L109" s="106">
        <f>I109*'Standard values'!$D$10+J109*'Standard values'!$D$11+K109*'Standard values'!$D$12</f>
        <v>0.44128533888888888</v>
      </c>
      <c r="M109" s="22"/>
      <c r="N109" s="1325">
        <f>+L109/$E$67</f>
        <v>11.830859935611111</v>
      </c>
      <c r="O109" s="22"/>
    </row>
    <row r="110" spans="1:15" ht="14.25">
      <c r="A110" s="161"/>
      <c r="B110" s="162"/>
      <c r="C110" s="162"/>
      <c r="D110" s="162"/>
      <c r="E110" s="161"/>
      <c r="F110" s="163"/>
      <c r="G110" s="163"/>
      <c r="H110" s="163" t="s">
        <v>792</v>
      </c>
      <c r="I110" s="161"/>
      <c r="J110" s="164" t="s">
        <v>743</v>
      </c>
      <c r="K110" s="167"/>
      <c r="L110" s="166">
        <f>L109</f>
        <v>0.44128533888888888</v>
      </c>
      <c r="M110" s="22"/>
      <c r="N110" s="11"/>
      <c r="O110" s="22"/>
    </row>
    <row r="111" spans="1:15">
      <c r="A111" s="11"/>
      <c r="B111" s="11"/>
      <c r="C111" s="11"/>
      <c r="D111" s="11"/>
      <c r="E111" s="11"/>
      <c r="F111" s="43"/>
      <c r="G111" s="43"/>
      <c r="H111" s="43"/>
      <c r="I111" s="11"/>
      <c r="J111" s="44"/>
      <c r="K111" s="45"/>
      <c r="L111" s="66"/>
      <c r="M111" s="22"/>
      <c r="N111" s="11"/>
      <c r="O111" s="22"/>
    </row>
    <row r="112" spans="1:15">
      <c r="A112" s="11"/>
      <c r="B112" s="11"/>
      <c r="C112" s="11"/>
      <c r="D112" s="11"/>
      <c r="E112" s="11"/>
      <c r="F112" s="43"/>
      <c r="G112" s="43"/>
      <c r="H112" s="43"/>
      <c r="I112" s="11"/>
      <c r="J112" s="44"/>
      <c r="K112" s="45"/>
      <c r="L112" s="66"/>
      <c r="M112" s="22"/>
      <c r="N112" s="22"/>
      <c r="O112" s="22"/>
    </row>
    <row r="113" spans="1:15" ht="15.75">
      <c r="A113" s="168" t="s">
        <v>1699</v>
      </c>
      <c r="B113" s="180"/>
      <c r="C113" s="181"/>
      <c r="D113" s="169"/>
      <c r="E113" s="182"/>
      <c r="F113" s="169"/>
      <c r="G113" s="169"/>
      <c r="H113" s="169"/>
      <c r="I113" s="169"/>
      <c r="J113" s="169"/>
      <c r="K113" s="169"/>
      <c r="L113" s="183"/>
      <c r="M113" s="22"/>
      <c r="N113" s="22"/>
      <c r="O113" s="22"/>
    </row>
    <row r="114" spans="1:15" ht="15.75">
      <c r="A114" s="86"/>
      <c r="B114" s="549" t="s">
        <v>1193</v>
      </c>
      <c r="C114" s="10" t="s">
        <v>642</v>
      </c>
      <c r="D114" s="9"/>
      <c r="E114" s="13"/>
      <c r="F114" s="9"/>
      <c r="G114" s="9"/>
      <c r="H114" s="9"/>
      <c r="I114" s="9"/>
      <c r="J114" s="9"/>
      <c r="K114" s="9"/>
      <c r="L114" s="73"/>
      <c r="M114" s="22"/>
      <c r="N114" s="11"/>
      <c r="O114" s="11"/>
    </row>
    <row r="115" spans="1:15" ht="15.75" customHeight="1">
      <c r="A115" s="86"/>
      <c r="B115" s="10"/>
      <c r="C115" s="17"/>
      <c r="D115" s="545" t="s">
        <v>747</v>
      </c>
      <c r="E115" s="546" t="str">
        <f>IF(D117="Yes","From :  ", " ")</f>
        <v xml:space="preserve"> </v>
      </c>
      <c r="F115" s="3151" t="str">
        <f>IF(D117="Yes",'LUC (EnVer)'!H$35 &amp; " ; " &amp; 'LUC (EnVer)'!H$36 &amp; " ; " &amp; 'LUC (EnVer)'!H$39 &amp; " ; " &amp; 'LUC (EnVer)'!H$40 &amp; " ; " &amp; 'LUC (EnVer)'!H$45 &amp; " ; " &amp; 'LUC (EnVer)'!H$46 &amp; " ; " &amp; 'LUC (EnVer)'!H$47, " ")</f>
        <v xml:space="preserve"> </v>
      </c>
      <c r="G115" s="3151"/>
      <c r="H115" s="3151"/>
      <c r="I115" s="3151"/>
      <c r="J115" s="3151"/>
      <c r="K115" s="3151"/>
      <c r="L115" s="3152"/>
      <c r="M115" s="22"/>
      <c r="N115" s="11"/>
      <c r="O115" s="11"/>
    </row>
    <row r="116" spans="1:15" ht="15.75" customHeight="1">
      <c r="A116" s="86"/>
      <c r="B116" s="1238" t="s">
        <v>605</v>
      </c>
      <c r="C116" s="1380" t="s">
        <v>747</v>
      </c>
      <c r="D116" s="545" t="s">
        <v>748</v>
      </c>
      <c r="E116" s="36"/>
      <c r="F116" s="3151"/>
      <c r="G116" s="3151"/>
      <c r="H116" s="3151"/>
      <c r="I116" s="3151"/>
      <c r="J116" s="3151"/>
      <c r="K116" s="3151"/>
      <c r="L116" s="3152"/>
      <c r="M116" s="22"/>
      <c r="N116" s="11"/>
      <c r="O116" s="11"/>
    </row>
    <row r="117" spans="1:15" ht="15.75" customHeight="1">
      <c r="A117" s="86"/>
      <c r="B117" s="10"/>
      <c r="C117" s="552" t="str">
        <f>IF(D117="Yes","Go to", " ")</f>
        <v xml:space="preserve"> </v>
      </c>
      <c r="D117" s="545" t="s">
        <v>748</v>
      </c>
      <c r="E117" s="546" t="str">
        <f>IF(D117="Yes","To    :   ", " ")</f>
        <v xml:space="preserve"> </v>
      </c>
      <c r="F117" s="3186" t="str">
        <f>IF(D117="Yes", 'LUC (EnVer)'!D$35 &amp; " ; " &amp; 'LUC (EnVer)'!D$36 &amp; " ; " &amp; 'LUC (EnVer)'!D$39 &amp; " ; " &amp; 'LUC (EnVer)'!D$40 &amp; " ; " &amp; 'LUC (EnVer)'!D$45 &amp; " ; " &amp; 'LUC (EnVer)'!D$46 &amp; " ; " &amp; 'LUC (EnVer)'!D$47, " ")</f>
        <v xml:space="preserve"> </v>
      </c>
      <c r="G117" s="3186"/>
      <c r="H117" s="3186"/>
      <c r="I117" s="3186"/>
      <c r="J117" s="3186"/>
      <c r="K117" s="3186"/>
      <c r="L117" s="3187"/>
      <c r="M117" s="22"/>
      <c r="N117" s="11"/>
      <c r="O117" s="11"/>
    </row>
    <row r="118" spans="1:15" ht="15.75">
      <c r="A118" s="86"/>
      <c r="B118" s="21"/>
      <c r="C118" s="551" t="str">
        <f>IF(D117="Yes","sheet 'LUC' ", " ")</f>
        <v xml:space="preserve"> </v>
      </c>
      <c r="D118" s="9"/>
      <c r="E118" s="547"/>
      <c r="F118" s="3186"/>
      <c r="G118" s="3186"/>
      <c r="H118" s="3186"/>
      <c r="I118" s="3186"/>
      <c r="J118" s="3186"/>
      <c r="K118" s="3186"/>
      <c r="L118" s="3187"/>
      <c r="M118" s="22"/>
      <c r="N118" s="11"/>
      <c r="O118" s="11"/>
    </row>
    <row r="119" spans="1:15" ht="15.75">
      <c r="A119" s="86"/>
      <c r="B119" s="21"/>
      <c r="C119" s="552" t="str">
        <f>IF(D117="Yes","to calculate the land use change", " ")</f>
        <v xml:space="preserve"> </v>
      </c>
      <c r="D119" s="9"/>
      <c r="E119" s="547"/>
      <c r="F119" s="532"/>
      <c r="G119" s="532"/>
      <c r="H119" s="1174"/>
      <c r="I119" s="3144" t="s">
        <v>633</v>
      </c>
      <c r="J119" s="3144"/>
      <c r="K119" s="3144"/>
      <c r="L119" s="3145"/>
      <c r="M119" s="22"/>
      <c r="N119" s="11"/>
      <c r="O119" s="11"/>
    </row>
    <row r="120" spans="1:15" ht="16.5">
      <c r="A120" s="86"/>
      <c r="B120" s="21"/>
      <c r="C120" s="552"/>
      <c r="D120" s="9"/>
      <c r="E120" s="547"/>
      <c r="F120" s="532"/>
      <c r="G120" s="532"/>
      <c r="H120" s="532"/>
      <c r="I120" s="1237" t="s">
        <v>709</v>
      </c>
      <c r="J120" s="1237" t="s">
        <v>710</v>
      </c>
      <c r="K120" s="1239" t="s">
        <v>711</v>
      </c>
      <c r="L120" s="1289" t="s">
        <v>716</v>
      </c>
      <c r="M120" s="22"/>
      <c r="N120" s="11"/>
      <c r="O120" s="11"/>
    </row>
    <row r="121" spans="1:15" ht="16.5">
      <c r="A121" s="86"/>
      <c r="B121" s="1291" t="s">
        <v>606</v>
      </c>
      <c r="C121" s="548">
        <f>IF(D117="Yes",'LUC (EnVer)'!$J$82,0)</f>
        <v>0</v>
      </c>
      <c r="D121" s="1206" t="s">
        <v>648</v>
      </c>
      <c r="E121" s="13"/>
      <c r="F121" s="9"/>
      <c r="G121" s="9"/>
      <c r="H121" s="9"/>
      <c r="I121" s="1235">
        <f>$C121*1000000/$E$157</f>
        <v>0</v>
      </c>
      <c r="J121" s="1235">
        <v>0</v>
      </c>
      <c r="K121" s="81">
        <v>0</v>
      </c>
      <c r="L121" s="1279">
        <f>I121*'Standard values'!$D$10+J121*'Standard values'!$D$11+K121*'Standard values'!$D$12</f>
        <v>0</v>
      </c>
      <c r="M121" s="22"/>
      <c r="N121" s="11"/>
      <c r="O121" s="11"/>
    </row>
    <row r="122" spans="1:15" ht="15.75">
      <c r="A122" s="86"/>
      <c r="B122" s="21"/>
      <c r="C122" s="19"/>
      <c r="D122" s="9"/>
      <c r="E122" s="13"/>
      <c r="F122" s="9"/>
      <c r="G122" s="9"/>
      <c r="H122" s="9"/>
      <c r="I122" s="1235"/>
      <c r="J122" s="1235"/>
      <c r="K122" s="81"/>
      <c r="L122" s="550"/>
      <c r="M122" s="22"/>
      <c r="N122" s="11"/>
      <c r="O122" s="11"/>
    </row>
    <row r="123" spans="1:15" ht="15.75">
      <c r="A123" s="13"/>
      <c r="B123" s="1238" t="s">
        <v>655</v>
      </c>
      <c r="C123" s="424">
        <v>0</v>
      </c>
      <c r="D123" s="1206" t="s">
        <v>607</v>
      </c>
      <c r="E123" s="13"/>
      <c r="F123" s="9"/>
      <c r="G123" s="9"/>
      <c r="H123" s="9"/>
      <c r="I123" s="1235">
        <f>-C123</f>
        <v>0</v>
      </c>
      <c r="J123" s="1235">
        <v>0</v>
      </c>
      <c r="K123" s="81">
        <v>0</v>
      </c>
      <c r="L123" s="1279">
        <f>I123*'Standard values'!$D$10+J123*'Standard values'!$D$11+K123*'Standard values'!$D$12</f>
        <v>0</v>
      </c>
      <c r="M123" s="22"/>
      <c r="N123" s="11"/>
      <c r="O123" s="11"/>
    </row>
    <row r="124" spans="1:15">
      <c r="A124" s="13"/>
      <c r="B124" s="41" t="str">
        <f>IF(C123=-29,"Year of conversion:","")</f>
        <v/>
      </c>
      <c r="C124" s="640"/>
      <c r="D124" s="87" t="str">
        <f>IF(C123=-29,"Fill in the year of conversion","")</f>
        <v/>
      </c>
      <c r="E124" s="13"/>
      <c r="F124" s="9"/>
      <c r="G124" s="9"/>
      <c r="H124" s="9"/>
      <c r="I124" s="13"/>
      <c r="J124" s="13"/>
      <c r="K124" s="81"/>
      <c r="L124" s="550">
        <f>SUM(L121:L123)</f>
        <v>0</v>
      </c>
      <c r="M124" s="22"/>
      <c r="N124" s="11"/>
      <c r="O124" s="11"/>
    </row>
    <row r="125" spans="1:15">
      <c r="A125" s="13"/>
      <c r="B125" s="41"/>
      <c r="C125" s="41"/>
      <c r="D125" s="87"/>
      <c r="E125" s="13"/>
      <c r="F125" s="9"/>
      <c r="G125" s="9"/>
      <c r="H125" s="9"/>
      <c r="I125" s="13"/>
      <c r="J125" s="13"/>
      <c r="K125" s="81"/>
      <c r="L125" s="550"/>
      <c r="M125" s="22"/>
      <c r="N125" s="11"/>
      <c r="O125" s="11"/>
    </row>
    <row r="126" spans="1:15" ht="14.25">
      <c r="A126" s="161"/>
      <c r="B126" s="162"/>
      <c r="C126" s="162"/>
      <c r="D126" s="162"/>
      <c r="E126" s="161"/>
      <c r="F126" s="163"/>
      <c r="G126" s="163"/>
      <c r="H126" s="163" t="s">
        <v>792</v>
      </c>
      <c r="I126" s="161"/>
      <c r="J126" s="164" t="s">
        <v>743</v>
      </c>
      <c r="K126" s="167"/>
      <c r="L126" s="166">
        <f>L124</f>
        <v>0</v>
      </c>
      <c r="M126" s="22"/>
      <c r="N126" s="11"/>
      <c r="O126" s="11"/>
    </row>
    <row r="127" spans="1:15">
      <c r="A127" s="11"/>
      <c r="B127" s="11"/>
      <c r="C127" s="11"/>
      <c r="D127" s="11"/>
      <c r="E127" s="11"/>
      <c r="F127" s="43"/>
      <c r="G127" s="43"/>
      <c r="H127" s="43"/>
      <c r="I127" s="11"/>
      <c r="J127" s="44"/>
      <c r="K127" s="45"/>
      <c r="L127" s="67"/>
      <c r="M127" s="22"/>
      <c r="N127" s="11"/>
      <c r="O127" s="11"/>
    </row>
    <row r="128" spans="1:15">
      <c r="A128" s="11"/>
      <c r="B128" s="11"/>
      <c r="C128" s="11"/>
      <c r="D128" s="11"/>
      <c r="E128" s="11"/>
      <c r="F128" s="43"/>
      <c r="G128" s="43"/>
      <c r="H128" s="43"/>
      <c r="I128" s="11"/>
      <c r="J128" s="44"/>
      <c r="K128" s="45"/>
      <c r="L128" s="67"/>
      <c r="M128" s="22"/>
      <c r="N128" s="11"/>
      <c r="O128" s="11"/>
    </row>
    <row r="129" spans="1:15" ht="15.75">
      <c r="A129" s="168" t="s">
        <v>645</v>
      </c>
      <c r="B129" s="180"/>
      <c r="C129" s="1381"/>
      <c r="D129" s="180"/>
      <c r="E129" s="182"/>
      <c r="F129" s="169"/>
      <c r="G129" s="169"/>
      <c r="H129" s="169"/>
      <c r="I129" s="169"/>
      <c r="J129" s="169"/>
      <c r="K129" s="169"/>
      <c r="L129" s="183"/>
      <c r="M129" s="22"/>
      <c r="N129" s="11"/>
      <c r="O129" s="11"/>
    </row>
    <row r="130" spans="1:15" ht="15.75">
      <c r="A130" s="86"/>
      <c r="B130" s="21" t="s">
        <v>1192</v>
      </c>
      <c r="C130" s="19" t="s">
        <v>1701</v>
      </c>
      <c r="D130" s="89"/>
      <c r="E130" s="13"/>
      <c r="F130" s="9"/>
      <c r="G130" s="9"/>
      <c r="H130" s="9"/>
      <c r="I130" s="3144" t="s">
        <v>633</v>
      </c>
      <c r="J130" s="3144"/>
      <c r="K130" s="3144"/>
      <c r="L130" s="3145"/>
      <c r="M130" s="22"/>
      <c r="N130" s="11"/>
      <c r="O130" s="11"/>
    </row>
    <row r="131" spans="1:15" ht="15.75" customHeight="1">
      <c r="A131" s="86"/>
      <c r="B131" s="10"/>
      <c r="C131" s="17"/>
      <c r="D131" s="545" t="s">
        <v>747</v>
      </c>
      <c r="E131" s="546" t="str">
        <f>IF(D133="Yes","From :  ", " ")</f>
        <v xml:space="preserve"> </v>
      </c>
      <c r="F131" s="3151" t="str">
        <f>IF(D133="Yes",'Esca (EnVer)'!H$42 &amp; ", " &amp; 'Esca (EnVer)'!H$43 &amp; " input ","")</f>
        <v/>
      </c>
      <c r="G131" s="3151"/>
      <c r="H131" s="3151"/>
      <c r="I131" s="3151"/>
      <c r="J131" s="3151"/>
      <c r="K131" s="3151"/>
      <c r="L131" s="3152"/>
      <c r="M131" s="22"/>
      <c r="N131" s="11"/>
      <c r="O131" s="11"/>
    </row>
    <row r="132" spans="1:15" ht="15.75">
      <c r="A132" s="86"/>
      <c r="B132" s="1238" t="s">
        <v>647</v>
      </c>
      <c r="C132" s="17"/>
      <c r="D132" s="545" t="s">
        <v>748</v>
      </c>
      <c r="E132" s="36"/>
      <c r="F132" s="3151"/>
      <c r="G132" s="3151"/>
      <c r="H132" s="3151"/>
      <c r="I132" s="3151"/>
      <c r="J132" s="3151"/>
      <c r="K132" s="3151"/>
      <c r="L132" s="3152"/>
      <c r="M132" s="22"/>
      <c r="N132" s="11"/>
      <c r="O132" s="11"/>
    </row>
    <row r="133" spans="1:15" ht="15.75" customHeight="1">
      <c r="A133" s="86"/>
      <c r="B133" s="10"/>
      <c r="C133" s="552" t="str">
        <f>IF(D133="Yes","Go to", " ")</f>
        <v xml:space="preserve"> </v>
      </c>
      <c r="D133" s="545" t="s">
        <v>748</v>
      </c>
      <c r="E133" s="546" t="str">
        <f>IF(D133="Yes","To    :   ", " ")</f>
        <v xml:space="preserve"> </v>
      </c>
      <c r="F133" s="3151" t="str">
        <f>IF(D133="Yes",'Esca (EnVer)'!D$42 &amp; ", " &amp; 'Esca (EnVer)'!D$43 &amp; " input ","")</f>
        <v/>
      </c>
      <c r="G133" s="3151"/>
      <c r="H133" s="3151"/>
      <c r="I133" s="3151"/>
      <c r="J133" s="3151"/>
      <c r="K133" s="3151"/>
      <c r="L133" s="3152"/>
      <c r="M133" s="22"/>
      <c r="N133" s="11"/>
      <c r="O133" s="11"/>
    </row>
    <row r="134" spans="1:15" ht="15.75">
      <c r="A134" s="86"/>
      <c r="B134" s="21"/>
      <c r="C134" s="551" t="str">
        <f>IF(D133="Yes","sheet 'Esca' ", " ")</f>
        <v xml:space="preserve"> </v>
      </c>
      <c r="D134" s="9"/>
      <c r="E134" s="547"/>
      <c r="F134" s="3151"/>
      <c r="G134" s="3151"/>
      <c r="H134" s="3151"/>
      <c r="I134" s="3151"/>
      <c r="J134" s="3151"/>
      <c r="K134" s="3151"/>
      <c r="L134" s="3152"/>
      <c r="M134" s="22"/>
      <c r="N134" s="11"/>
      <c r="O134" s="11"/>
    </row>
    <row r="135" spans="1:15" ht="15.75">
      <c r="A135" s="86"/>
      <c r="B135" s="21"/>
      <c r="C135" s="552" t="str">
        <f>IF(D133="Yes","to calculate the soil carbon accumulation", " ")</f>
        <v xml:space="preserve"> </v>
      </c>
      <c r="D135" s="9"/>
      <c r="E135" s="547"/>
      <c r="F135" s="532"/>
      <c r="G135" s="532"/>
      <c r="H135" s="532"/>
      <c r="I135" s="3144" t="s">
        <v>633</v>
      </c>
      <c r="J135" s="3144"/>
      <c r="K135" s="3144"/>
      <c r="L135" s="3145"/>
      <c r="M135" s="22"/>
      <c r="N135" s="11"/>
      <c r="O135" s="11"/>
    </row>
    <row r="136" spans="1:15" ht="16.5">
      <c r="A136" s="86"/>
      <c r="B136" s="21"/>
      <c r="C136" s="552"/>
      <c r="D136" s="9"/>
      <c r="E136" s="547"/>
      <c r="F136" s="532"/>
      <c r="G136" s="532"/>
      <c r="H136" s="532"/>
      <c r="I136" s="553" t="s">
        <v>1453</v>
      </c>
      <c r="J136" s="553" t="s">
        <v>1454</v>
      </c>
      <c r="K136" s="553" t="s">
        <v>1455</v>
      </c>
      <c r="L136" s="74" t="s">
        <v>1456</v>
      </c>
      <c r="M136" s="22"/>
      <c r="N136" s="11"/>
      <c r="O136" s="11"/>
    </row>
    <row r="137" spans="1:15" ht="16.5">
      <c r="A137" s="86"/>
      <c r="B137" s="2691" t="s">
        <v>1702</v>
      </c>
      <c r="C137" s="548">
        <f>IF(D133="yes",'Esca (EnVer)'!$J$77,0)</f>
        <v>0</v>
      </c>
      <c r="D137" s="1206" t="s">
        <v>648</v>
      </c>
      <c r="E137" s="13"/>
      <c r="F137" s="9"/>
      <c r="G137" s="9"/>
      <c r="H137" s="9"/>
      <c r="I137" s="1235">
        <f>$C137*1000000/$E$157</f>
        <v>0</v>
      </c>
      <c r="J137" s="1235">
        <v>0</v>
      </c>
      <c r="K137" s="1235">
        <v>0</v>
      </c>
      <c r="L137" s="1175">
        <f>I137*'Standard values'!$D$10+J137*'Standard values'!$D$11+K137*'Standard values'!$D$12</f>
        <v>0</v>
      </c>
      <c r="M137" s="22"/>
      <c r="N137" s="11"/>
      <c r="O137" s="11"/>
    </row>
    <row r="138" spans="1:15">
      <c r="A138" s="13"/>
      <c r="B138" s="41"/>
      <c r="C138" s="41"/>
      <c r="D138" s="87"/>
      <c r="E138" s="13"/>
      <c r="F138" s="9"/>
      <c r="G138" s="9"/>
      <c r="H138" s="9"/>
      <c r="I138" s="13"/>
      <c r="J138" s="13"/>
      <c r="K138" s="1235"/>
      <c r="L138" s="106">
        <f>SUM(L137:L137)</f>
        <v>0</v>
      </c>
      <c r="M138" s="22"/>
      <c r="N138" s="11"/>
      <c r="O138" s="11"/>
    </row>
    <row r="139" spans="1:15">
      <c r="A139" s="13"/>
      <c r="B139" s="41"/>
      <c r="C139" s="41"/>
      <c r="D139" s="87"/>
      <c r="E139" s="13"/>
      <c r="F139" s="9"/>
      <c r="G139" s="9"/>
      <c r="H139" s="9"/>
      <c r="I139" s="13"/>
      <c r="J139" s="13"/>
      <c r="K139" s="1235"/>
      <c r="L139" s="106"/>
      <c r="M139" s="22"/>
      <c r="N139" s="11"/>
      <c r="O139" s="11"/>
    </row>
    <row r="140" spans="1:15" ht="14.25">
      <c r="A140" s="161"/>
      <c r="B140" s="162"/>
      <c r="C140" s="162"/>
      <c r="D140" s="162"/>
      <c r="E140" s="161"/>
      <c r="F140" s="163"/>
      <c r="G140" s="163"/>
      <c r="H140" s="163" t="s">
        <v>792</v>
      </c>
      <c r="I140" s="161"/>
      <c r="J140" s="164" t="s">
        <v>743</v>
      </c>
      <c r="K140" s="167"/>
      <c r="L140" s="166">
        <f>L138</f>
        <v>0</v>
      </c>
      <c r="M140" s="22"/>
      <c r="N140" s="11"/>
      <c r="O140" s="11"/>
    </row>
    <row r="141" spans="1:15">
      <c r="A141" s="11"/>
      <c r="B141" s="11"/>
      <c r="C141" s="11"/>
      <c r="D141" s="11"/>
      <c r="E141" s="11"/>
      <c r="F141" s="43"/>
      <c r="G141" s="43"/>
      <c r="H141" s="43"/>
      <c r="I141" s="11"/>
      <c r="J141" s="44"/>
      <c r="K141" s="45"/>
      <c r="L141" s="67"/>
      <c r="M141" s="22"/>
      <c r="N141" s="11"/>
      <c r="O141" s="11"/>
    </row>
    <row r="142" spans="1:15">
      <c r="A142" s="11"/>
      <c r="B142" s="11"/>
      <c r="C142" s="11"/>
      <c r="D142" s="11"/>
      <c r="E142" s="11"/>
      <c r="F142" s="43"/>
      <c r="G142" s="43"/>
      <c r="H142" s="43"/>
      <c r="I142" s="11"/>
      <c r="J142" s="44"/>
      <c r="K142" s="45"/>
      <c r="L142" s="67"/>
      <c r="M142" s="22"/>
      <c r="N142" s="11"/>
      <c r="O142" s="11"/>
    </row>
    <row r="143" spans="1:15" ht="18.75">
      <c r="A143" s="168" t="s">
        <v>650</v>
      </c>
      <c r="B143" s="180"/>
      <c r="C143" s="181"/>
      <c r="D143" s="169"/>
      <c r="E143" s="182"/>
      <c r="F143" s="169"/>
      <c r="G143" s="169"/>
      <c r="H143" s="169"/>
      <c r="I143" s="169"/>
      <c r="J143" s="169"/>
      <c r="K143" s="169"/>
      <c r="L143" s="183"/>
      <c r="M143" s="22"/>
      <c r="N143" s="11"/>
      <c r="O143" s="11"/>
    </row>
    <row r="144" spans="1:15" ht="15.75">
      <c r="A144" s="86"/>
      <c r="B144" s="21" t="s">
        <v>1188</v>
      </c>
      <c r="C144" s="19"/>
      <c r="D144" s="9"/>
      <c r="E144" s="13"/>
      <c r="F144" s="9"/>
      <c r="G144" s="9"/>
      <c r="H144" s="9"/>
      <c r="I144" s="3144" t="s">
        <v>633</v>
      </c>
      <c r="J144" s="3144"/>
      <c r="K144" s="3144"/>
      <c r="L144" s="3145"/>
      <c r="M144" s="22"/>
      <c r="N144" s="11"/>
      <c r="O144" s="11"/>
    </row>
    <row r="145" spans="1:15" ht="15.75">
      <c r="A145" s="13"/>
      <c r="B145" s="41"/>
      <c r="C145" s="424">
        <v>0</v>
      </c>
      <c r="D145" s="1206" t="s">
        <v>607</v>
      </c>
      <c r="E145" s="13"/>
      <c r="F145" s="9"/>
      <c r="G145" s="9"/>
      <c r="H145" s="9"/>
      <c r="I145" s="13"/>
      <c r="J145" s="9"/>
      <c r="K145" s="70"/>
      <c r="L145" s="106">
        <f>C145</f>
        <v>0</v>
      </c>
      <c r="M145" s="22"/>
      <c r="N145" s="11"/>
      <c r="O145" s="11"/>
    </row>
    <row r="146" spans="1:15" ht="14.25">
      <c r="A146" s="161"/>
      <c r="B146" s="162"/>
      <c r="C146" s="162"/>
      <c r="D146" s="162"/>
      <c r="E146" s="161"/>
      <c r="F146" s="163"/>
      <c r="G146" s="163"/>
      <c r="H146" s="163" t="s">
        <v>792</v>
      </c>
      <c r="I146" s="161"/>
      <c r="J146" s="164" t="s">
        <v>743</v>
      </c>
      <c r="K146" s="167"/>
      <c r="L146" s="166">
        <f>C145</f>
        <v>0</v>
      </c>
      <c r="M146" s="22"/>
      <c r="N146" s="11"/>
      <c r="O146" s="11"/>
    </row>
    <row r="147" spans="1:15">
      <c r="A147" s="11"/>
      <c r="B147" s="11"/>
      <c r="C147" s="11"/>
      <c r="D147" s="11"/>
      <c r="E147" s="11"/>
      <c r="F147" s="43"/>
      <c r="G147" s="43"/>
      <c r="H147" s="43"/>
      <c r="I147" s="11"/>
      <c r="J147" s="44"/>
      <c r="K147" s="45"/>
      <c r="L147" s="67"/>
      <c r="M147" s="22"/>
      <c r="N147" s="11"/>
      <c r="O147" s="11"/>
    </row>
    <row r="148" spans="1:15">
      <c r="A148" s="11"/>
      <c r="B148" s="11"/>
      <c r="C148" s="11"/>
      <c r="D148" s="11"/>
      <c r="E148" s="11"/>
      <c r="F148" s="43"/>
      <c r="G148" s="43"/>
      <c r="H148" s="43"/>
      <c r="I148" s="11"/>
      <c r="J148" s="44"/>
      <c r="K148" s="45"/>
      <c r="L148" s="67"/>
      <c r="M148" s="22"/>
      <c r="N148" s="11"/>
      <c r="O148" s="11"/>
    </row>
    <row r="149" spans="1:15" ht="18.75">
      <c r="A149" s="168" t="s">
        <v>649</v>
      </c>
      <c r="B149" s="180"/>
      <c r="C149" s="181"/>
      <c r="D149" s="169"/>
      <c r="E149" s="182"/>
      <c r="F149" s="169"/>
      <c r="G149" s="169"/>
      <c r="H149" s="169"/>
      <c r="I149" s="169"/>
      <c r="J149" s="169"/>
      <c r="K149" s="169"/>
      <c r="L149" s="183"/>
      <c r="M149" s="22"/>
      <c r="N149" s="11"/>
      <c r="O149" s="11"/>
    </row>
    <row r="150" spans="1:15" ht="15.75">
      <c r="A150" s="86"/>
      <c r="B150" s="21" t="s">
        <v>1189</v>
      </c>
      <c r="C150" s="19"/>
      <c r="D150" s="9"/>
      <c r="E150" s="13"/>
      <c r="F150" s="9"/>
      <c r="G150" s="9"/>
      <c r="H150" s="9"/>
      <c r="I150" s="3144" t="s">
        <v>633</v>
      </c>
      <c r="J150" s="3144"/>
      <c r="K150" s="3144"/>
      <c r="L150" s="3145"/>
      <c r="M150" s="22"/>
      <c r="N150" s="11"/>
      <c r="O150" s="11"/>
    </row>
    <row r="151" spans="1:15" ht="15.75">
      <c r="A151" s="13"/>
      <c r="B151" s="41"/>
      <c r="C151" s="424">
        <v>0</v>
      </c>
      <c r="D151" s="1206" t="s">
        <v>607</v>
      </c>
      <c r="E151" s="13"/>
      <c r="F151" s="9"/>
      <c r="G151" s="9"/>
      <c r="H151" s="9"/>
      <c r="I151" s="13"/>
      <c r="J151" s="9"/>
      <c r="K151" s="70"/>
      <c r="L151" s="106">
        <f>C151</f>
        <v>0</v>
      </c>
      <c r="M151" s="22"/>
      <c r="N151" s="11"/>
      <c r="O151" s="11"/>
    </row>
    <row r="152" spans="1:15" ht="14.25">
      <c r="A152" s="161"/>
      <c r="B152" s="162"/>
      <c r="C152" s="162"/>
      <c r="D152" s="162"/>
      <c r="E152" s="161"/>
      <c r="F152" s="163"/>
      <c r="G152" s="163"/>
      <c r="H152" s="163" t="s">
        <v>792</v>
      </c>
      <c r="I152" s="1382"/>
      <c r="J152" s="1383" t="s">
        <v>743</v>
      </c>
      <c r="K152" s="1384"/>
      <c r="L152" s="166">
        <f>C151</f>
        <v>0</v>
      </c>
      <c r="M152" s="22"/>
      <c r="N152" s="11"/>
      <c r="O152" s="11"/>
    </row>
    <row r="153" spans="1:15">
      <c r="A153" s="11"/>
      <c r="B153" s="11"/>
      <c r="C153" s="11"/>
      <c r="D153" s="11"/>
      <c r="E153" s="11"/>
      <c r="F153" s="43"/>
      <c r="G153" s="43"/>
      <c r="H153" s="43"/>
      <c r="I153" s="11"/>
      <c r="J153" s="44"/>
      <c r="K153" s="45"/>
      <c r="L153" s="67"/>
      <c r="M153" s="22"/>
      <c r="N153" s="11"/>
      <c r="O153" s="11"/>
    </row>
    <row r="154" spans="1:15">
      <c r="A154" s="11"/>
      <c r="B154" s="11"/>
      <c r="C154" s="11"/>
      <c r="D154" s="11"/>
      <c r="E154" s="11"/>
      <c r="F154" s="43"/>
      <c r="G154" s="43"/>
      <c r="H154" s="43"/>
      <c r="I154" s="11"/>
      <c r="J154" s="44"/>
      <c r="K154" s="45"/>
      <c r="L154" s="67"/>
      <c r="M154" s="22"/>
      <c r="N154" s="11"/>
      <c r="O154" s="11"/>
    </row>
    <row r="155" spans="1:15" ht="15.75" customHeight="1">
      <c r="A155" s="3274" t="s">
        <v>651</v>
      </c>
      <c r="B155" s="169"/>
      <c r="C155" s="169"/>
      <c r="D155" s="169"/>
      <c r="E155" s="3276" t="s">
        <v>800</v>
      </c>
      <c r="F155" s="3276"/>
      <c r="G155" s="3276"/>
      <c r="H155" s="3276"/>
      <c r="I155" s="3202" t="s">
        <v>743</v>
      </c>
      <c r="J155" s="3202"/>
      <c r="K155" s="3202"/>
      <c r="L155" s="3278">
        <f>L90+L102+L110+L126-L140-L146-L152</f>
        <v>69.890818520083712</v>
      </c>
      <c r="M155" s="22"/>
      <c r="N155" s="11"/>
      <c r="O155" s="11"/>
    </row>
    <row r="156" spans="1:15" ht="15.75" customHeight="1">
      <c r="A156" s="3275"/>
      <c r="B156" s="176"/>
      <c r="C156" s="176"/>
      <c r="D156" s="176"/>
      <c r="E156" s="3277"/>
      <c r="F156" s="3277"/>
      <c r="G156" s="3277"/>
      <c r="H156" s="3277"/>
      <c r="I156" s="3205"/>
      <c r="J156" s="3205"/>
      <c r="K156" s="3205"/>
      <c r="L156" s="3279"/>
      <c r="M156" s="22"/>
      <c r="N156" s="11"/>
      <c r="O156" s="11"/>
    </row>
    <row r="157" spans="1:15" ht="15.75">
      <c r="A157" s="13"/>
      <c r="B157" s="9"/>
      <c r="C157" s="9"/>
      <c r="D157" s="1238" t="s">
        <v>652</v>
      </c>
      <c r="E157" s="88">
        <f>E22*C45*C54*C65*C94*C106</f>
        <v>40687.990364447454</v>
      </c>
      <c r="F157" s="9" t="s">
        <v>1437</v>
      </c>
      <c r="G157" s="9"/>
      <c r="H157" s="9"/>
      <c r="I157" s="9"/>
      <c r="J157" s="9"/>
      <c r="K157" s="9"/>
      <c r="L157" s="89"/>
      <c r="M157" s="22"/>
      <c r="N157" s="11"/>
      <c r="O157" s="11"/>
    </row>
    <row r="158" spans="1:15" ht="15.75">
      <c r="A158" s="13"/>
      <c r="B158" s="9"/>
      <c r="C158" s="9"/>
      <c r="D158" s="1238" t="s">
        <v>653</v>
      </c>
      <c r="E158" s="90">
        <f>E157/E22</f>
        <v>0.53126616302000251</v>
      </c>
      <c r="F158" s="9" t="s">
        <v>1117</v>
      </c>
      <c r="G158" s="9"/>
      <c r="H158" s="9"/>
      <c r="I158" s="70"/>
      <c r="J158" s="9"/>
      <c r="K158" s="9"/>
      <c r="L158" s="89"/>
      <c r="M158" s="22"/>
      <c r="N158" s="11"/>
      <c r="O158" s="11"/>
    </row>
    <row r="159" spans="1:15">
      <c r="A159" s="13"/>
      <c r="B159" s="9"/>
      <c r="C159" s="9"/>
      <c r="D159" s="9"/>
      <c r="E159" s="9"/>
      <c r="F159" s="71"/>
      <c r="G159" s="71"/>
      <c r="H159" s="9"/>
      <c r="I159" s="70"/>
      <c r="J159" s="9"/>
      <c r="K159" s="9"/>
      <c r="L159" s="89"/>
      <c r="M159" s="22"/>
      <c r="N159" s="11"/>
      <c r="O159" s="11"/>
    </row>
    <row r="160" spans="1:15">
      <c r="A160" s="13"/>
      <c r="B160" s="9"/>
      <c r="C160" s="9"/>
      <c r="D160" s="9"/>
      <c r="E160" s="9"/>
      <c r="F160" s="71"/>
      <c r="G160" s="71"/>
      <c r="H160" s="9"/>
      <c r="I160" s="9"/>
      <c r="J160" s="9"/>
      <c r="K160" s="9"/>
      <c r="L160" s="89"/>
      <c r="M160" s="22"/>
      <c r="N160" s="11"/>
      <c r="O160" s="11"/>
    </row>
    <row r="161" spans="1:15" ht="14.25">
      <c r="A161" s="195"/>
      <c r="B161" s="196"/>
      <c r="C161" s="196"/>
      <c r="D161" s="196"/>
      <c r="E161" s="185" t="s">
        <v>643</v>
      </c>
      <c r="F161" s="203"/>
      <c r="G161" s="203"/>
      <c r="H161" s="204"/>
      <c r="I161" s="204"/>
      <c r="J161" s="185" t="s">
        <v>743</v>
      </c>
      <c r="K161" s="204"/>
      <c r="L161" s="205">
        <f>L41+L50+L60+L81+L102+L110+L126-L140-L146-L152</f>
        <v>116.39268090590119</v>
      </c>
      <c r="M161" s="22"/>
      <c r="N161" s="11"/>
      <c r="O161" s="11"/>
    </row>
    <row r="162" spans="1:15" ht="14.25">
      <c r="A162" s="198"/>
      <c r="B162" s="199"/>
      <c r="C162" s="197"/>
      <c r="D162" s="196"/>
      <c r="E162" s="185" t="s">
        <v>742</v>
      </c>
      <c r="F162" s="204"/>
      <c r="G162" s="204"/>
      <c r="H162" s="204"/>
      <c r="I162" s="204"/>
      <c r="J162" s="185" t="s">
        <v>743</v>
      </c>
      <c r="K162" s="204"/>
      <c r="L162" s="206">
        <f>L90+L102+L110+L126-L140-L146-L152</f>
        <v>69.890818520083712</v>
      </c>
      <c r="M162" s="22"/>
      <c r="N162" s="11"/>
      <c r="O162" s="11"/>
    </row>
    <row r="163" spans="1:15">
      <c r="A163" s="195"/>
      <c r="B163" s="196"/>
      <c r="C163" s="196"/>
      <c r="D163" s="196"/>
      <c r="E163" s="204"/>
      <c r="F163" s="204"/>
      <c r="G163" s="204"/>
      <c r="H163" s="204"/>
      <c r="I163" s="204"/>
      <c r="J163" s="204"/>
      <c r="K163" s="204"/>
      <c r="L163" s="207"/>
      <c r="M163" s="22"/>
      <c r="N163" s="11"/>
      <c r="O163" s="11"/>
    </row>
    <row r="164" spans="1:15">
      <c r="A164" s="200"/>
      <c r="B164" s="201"/>
      <c r="C164" s="201"/>
      <c r="D164" s="201"/>
      <c r="E164" s="193" t="s">
        <v>644</v>
      </c>
      <c r="F164" s="194"/>
      <c r="G164" s="194"/>
      <c r="H164" s="194"/>
      <c r="I164" s="194"/>
      <c r="J164" s="194"/>
      <c r="K164" s="194"/>
      <c r="L164" s="1290">
        <f>(83.8-L162)/83.8</f>
        <v>0.16598068591785542</v>
      </c>
      <c r="M164" s="22"/>
      <c r="N164" s="11"/>
      <c r="O164" s="11"/>
    </row>
    <row r="165" spans="1:15">
      <c r="M165" s="3"/>
    </row>
    <row r="166" spans="1:15">
      <c r="E166" s="2"/>
      <c r="F166" s="2"/>
      <c r="G166" s="2"/>
      <c r="H166" s="4"/>
      <c r="I166" s="2"/>
      <c r="J166" s="2"/>
      <c r="K166" s="2"/>
      <c r="L166" s="8"/>
      <c r="M166" s="3"/>
    </row>
    <row r="167" spans="1:15">
      <c r="F167" s="2"/>
      <c r="G167" s="2"/>
      <c r="H167" s="2"/>
      <c r="I167" s="68"/>
      <c r="J167" s="2"/>
      <c r="K167" s="2"/>
      <c r="L167" s="69"/>
      <c r="M167" s="34"/>
      <c r="N167" s="3"/>
    </row>
    <row r="168" spans="1:15">
      <c r="F168" s="2"/>
      <c r="G168" s="2"/>
      <c r="H168" s="2"/>
      <c r="I168" s="68"/>
      <c r="J168" s="2"/>
      <c r="K168" s="2"/>
      <c r="L168" s="69"/>
      <c r="M168" s="34"/>
      <c r="N168" s="3"/>
    </row>
    <row r="169" spans="1:15" ht="15.75">
      <c r="F169" s="35"/>
      <c r="G169" s="35"/>
      <c r="H169" s="2"/>
      <c r="I169" s="2"/>
      <c r="J169" s="2"/>
      <c r="K169" s="2"/>
      <c r="L169" s="2"/>
      <c r="M169" s="2"/>
      <c r="N169" s="3"/>
    </row>
    <row r="170" spans="1:15">
      <c r="F170" s="2"/>
      <c r="G170" s="2"/>
      <c r="H170" s="68"/>
      <c r="I170" s="2"/>
      <c r="J170" s="2"/>
      <c r="K170" s="2"/>
      <c r="L170" s="2"/>
      <c r="M170" s="2"/>
      <c r="N170" s="2"/>
    </row>
    <row r="171" spans="1:15">
      <c r="F171" s="68"/>
      <c r="G171" s="68"/>
      <c r="H171" s="2"/>
      <c r="I171" s="24"/>
      <c r="J171" s="2"/>
      <c r="K171" s="2"/>
      <c r="L171" s="2"/>
      <c r="M171" s="2"/>
      <c r="N171" s="2"/>
    </row>
    <row r="172" spans="1:15">
      <c r="F172" s="68"/>
      <c r="G172" s="68"/>
      <c r="H172" s="2"/>
      <c r="I172" s="24"/>
      <c r="J172" s="2"/>
      <c r="K172" s="2"/>
      <c r="L172" s="2"/>
      <c r="M172" s="2"/>
      <c r="N172" s="2"/>
    </row>
    <row r="173" spans="1:15">
      <c r="F173" s="2"/>
      <c r="G173" s="2"/>
      <c r="H173" s="34"/>
      <c r="I173" s="2"/>
      <c r="J173" s="2"/>
      <c r="K173" s="2"/>
      <c r="L173" s="2"/>
      <c r="M173" s="2"/>
      <c r="N173" s="2"/>
    </row>
    <row r="174" spans="1:15">
      <c r="F174" s="2"/>
      <c r="G174" s="2"/>
      <c r="H174" s="2"/>
      <c r="I174" s="2"/>
      <c r="J174" s="2"/>
      <c r="K174" s="2"/>
      <c r="L174" s="2"/>
      <c r="M174" s="2"/>
      <c r="N174" s="2"/>
    </row>
    <row r="175" spans="1:15">
      <c r="F175" s="2"/>
      <c r="G175" s="2"/>
      <c r="H175" s="2"/>
      <c r="I175" s="2"/>
      <c r="J175" s="2"/>
      <c r="K175" s="2"/>
      <c r="L175" s="2"/>
      <c r="M175" s="2"/>
      <c r="N175" s="2"/>
    </row>
    <row r="176" spans="1:15">
      <c r="F176" s="2"/>
      <c r="G176" s="2"/>
      <c r="H176" s="2"/>
      <c r="I176" s="2"/>
      <c r="J176" s="2"/>
      <c r="K176" s="2"/>
      <c r="L176" s="2"/>
      <c r="M176" s="2"/>
      <c r="N176" s="2"/>
    </row>
    <row r="177" spans="6:14">
      <c r="F177" s="2"/>
      <c r="G177" s="2"/>
      <c r="H177" s="2"/>
      <c r="I177" s="2"/>
      <c r="J177" s="2"/>
      <c r="K177" s="2"/>
      <c r="L177" s="2"/>
      <c r="M177" s="2"/>
      <c r="N177" s="2"/>
    </row>
    <row r="178" spans="6:14">
      <c r="F178" s="2"/>
      <c r="G178" s="2"/>
      <c r="H178" s="2"/>
      <c r="I178" s="2"/>
      <c r="J178" s="2"/>
      <c r="K178" s="2"/>
      <c r="L178" s="2"/>
      <c r="M178" s="2"/>
      <c r="N178" s="2"/>
    </row>
    <row r="179" spans="6:14">
      <c r="F179" s="2"/>
      <c r="G179" s="2"/>
      <c r="H179" s="2"/>
      <c r="I179" s="2"/>
      <c r="J179" s="2"/>
      <c r="K179" s="2"/>
      <c r="L179" s="2"/>
      <c r="M179" s="2"/>
      <c r="N179" s="2"/>
    </row>
    <row r="180" spans="6:14">
      <c r="F180" s="2"/>
      <c r="G180" s="2"/>
      <c r="H180" s="2"/>
      <c r="I180" s="2"/>
      <c r="J180" s="2"/>
      <c r="K180" s="2"/>
      <c r="L180" s="2"/>
      <c r="M180" s="2"/>
      <c r="N180" s="2"/>
    </row>
    <row r="181" spans="6:14">
      <c r="F181" s="2"/>
      <c r="G181" s="2"/>
      <c r="H181" s="2"/>
      <c r="I181" s="2"/>
      <c r="J181" s="2"/>
      <c r="K181" s="2"/>
      <c r="L181" s="2"/>
      <c r="M181" s="2"/>
      <c r="N181" s="2"/>
    </row>
    <row r="182" spans="6:14">
      <c r="F182" s="2"/>
      <c r="G182" s="2"/>
      <c r="H182" s="2"/>
      <c r="I182" s="2"/>
      <c r="J182" s="2"/>
      <c r="K182" s="2"/>
      <c r="L182" s="2"/>
      <c r="M182" s="2"/>
      <c r="N182" s="2"/>
    </row>
    <row r="183" spans="6:14">
      <c r="F183" s="2"/>
      <c r="G183" s="2"/>
      <c r="H183" s="2"/>
      <c r="I183" s="2"/>
      <c r="J183" s="2"/>
      <c r="K183" s="2"/>
      <c r="L183" s="2"/>
      <c r="M183" s="2"/>
      <c r="N183" s="2"/>
    </row>
    <row r="184" spans="6:14">
      <c r="F184" s="2"/>
      <c r="G184" s="2"/>
      <c r="H184" s="2"/>
      <c r="I184" s="2"/>
      <c r="J184" s="2"/>
      <c r="K184" s="2"/>
      <c r="L184" s="2"/>
      <c r="M184" s="2"/>
      <c r="N184" s="2"/>
    </row>
    <row r="185" spans="6:14">
      <c r="F185" s="2"/>
      <c r="G185" s="2"/>
      <c r="H185" s="2"/>
      <c r="I185" s="2"/>
      <c r="J185" s="2"/>
      <c r="K185" s="2"/>
      <c r="L185" s="2"/>
      <c r="M185" s="2"/>
      <c r="N185" s="2"/>
    </row>
  </sheetData>
  <customSheetViews>
    <customSheetView guid="{AD88818B-9F97-4B1E-9426-0DECE603685E}" scale="80" showGridLines="0" fitToPage="1" showRuler="0">
      <pane ySplit="19" topLeftCell="A20"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 guid="{7EB5D807-CE20-46E2-AEE6-2C193E010EA4}" scale="80" showGridLines="0" fitToPage="1" showRuler="0">
      <pane ySplit="19" topLeftCell="A20"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s>
  <mergeCells count="60">
    <mergeCell ref="N55:N56"/>
    <mergeCell ref="J5:L5"/>
    <mergeCell ref="F131:L132"/>
    <mergeCell ref="F133:L134"/>
    <mergeCell ref="H11:H12"/>
    <mergeCell ref="F115:L116"/>
    <mergeCell ref="F117:L118"/>
    <mergeCell ref="N20:O20"/>
    <mergeCell ref="I20:L20"/>
    <mergeCell ref="I21:L21"/>
    <mergeCell ref="I63:L63"/>
    <mergeCell ref="E63:H63"/>
    <mergeCell ref="I64:L64"/>
    <mergeCell ref="E69:H69"/>
    <mergeCell ref="E20:H20"/>
    <mergeCell ref="E53:H53"/>
    <mergeCell ref="N7:O7"/>
    <mergeCell ref="O11:O12"/>
    <mergeCell ref="A2:O2"/>
    <mergeCell ref="A3:B3"/>
    <mergeCell ref="A4:A5"/>
    <mergeCell ref="B4:B5"/>
    <mergeCell ref="C4:C5"/>
    <mergeCell ref="D4:D5"/>
    <mergeCell ref="E4:E5"/>
    <mergeCell ref="F4:F5"/>
    <mergeCell ref="H4:H5"/>
    <mergeCell ref="J4:L4"/>
    <mergeCell ref="N4:O4"/>
    <mergeCell ref="N5:O5"/>
    <mergeCell ref="A21:D21"/>
    <mergeCell ref="I84:K85"/>
    <mergeCell ref="E86:H86"/>
    <mergeCell ref="L84:L85"/>
    <mergeCell ref="A58:A59"/>
    <mergeCell ref="B58:B59"/>
    <mergeCell ref="C58:C59"/>
    <mergeCell ref="A55:A56"/>
    <mergeCell ref="E44:H44"/>
    <mergeCell ref="I45:L45"/>
    <mergeCell ref="I44:L44"/>
    <mergeCell ref="I71:L71"/>
    <mergeCell ref="E84:H85"/>
    <mergeCell ref="I53:L53"/>
    <mergeCell ref="I54:L54"/>
    <mergeCell ref="E105:H105"/>
    <mergeCell ref="A106:B106"/>
    <mergeCell ref="I106:L106"/>
    <mergeCell ref="I119:L119"/>
    <mergeCell ref="E93:H93"/>
    <mergeCell ref="I93:L93"/>
    <mergeCell ref="I94:L94"/>
    <mergeCell ref="I135:L135"/>
    <mergeCell ref="I130:L130"/>
    <mergeCell ref="I144:L144"/>
    <mergeCell ref="I150:L150"/>
    <mergeCell ref="A155:A156"/>
    <mergeCell ref="E155:H156"/>
    <mergeCell ref="I155:K156"/>
    <mergeCell ref="L155:L156"/>
  </mergeCells>
  <phoneticPr fontId="0" type="noConversion"/>
  <conditionalFormatting sqref="O9:O18">
    <cfRule type="cellIs" dxfId="19" priority="4" stopIfTrue="1" operator="notBetween">
      <formula>-0.05</formula>
      <formula>0.05</formula>
    </cfRule>
  </conditionalFormatting>
  <conditionalFormatting sqref="E7">
    <cfRule type="expression" dxfId="18" priority="3" stopIfTrue="1">
      <formula>($E7&lt;&gt;"")</formula>
    </cfRule>
  </conditionalFormatting>
  <conditionalFormatting sqref="E9">
    <cfRule type="expression" dxfId="17" priority="2" stopIfTrue="1">
      <formula>($E9&lt;&gt;"")</formula>
    </cfRule>
  </conditionalFormatting>
  <conditionalFormatting sqref="E11:E14">
    <cfRule type="expression" dxfId="16" priority="1" stopIfTrue="1">
      <formula>($E11&lt;&gt;"")</formula>
    </cfRule>
  </conditionalFormatting>
  <dataValidations count="3">
    <dataValidation type="list" showDropDown="1" showInputMessage="1" showErrorMessage="1" errorTitle="Wrong input" error="Only values &quot;0&quot; and &quot;-29&quot; are allowed_x000a_" sqref="C123">
      <formula1>"0,-29"</formula1>
    </dataValidation>
    <dataValidation type="list" allowBlank="1" showInputMessage="1" showErrorMessage="1" sqref="F10 F6 F8">
      <formula1>"A,D"</formula1>
    </dataValidation>
    <dataValidation type="list" allowBlank="1" showInputMessage="1" showErrorMessage="1" sqref="E7 E9 E11:E14">
      <formula1>"- ,Individual result of previous calculation, Combined result of previous calculation"</formula1>
    </dataValidation>
  </dataValidations>
  <hyperlinks>
    <hyperlink ref="C134" location="Esca!A1" display="Esca!A1"/>
    <hyperlink ref="C118" location="LUC!A1" display="LUC!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sheetPr codeName="Blad2">
    <pageSetUpPr fitToPage="1"/>
  </sheetPr>
  <dimension ref="A1:T108"/>
  <sheetViews>
    <sheetView zoomScaleSheetLayoutView="100" workbookViewId="0">
      <pane ySplit="2" topLeftCell="A69" activePane="bottomLeft" state="frozen"/>
      <selection pane="bottomLeft" activeCell="B79" sqref="B79"/>
    </sheetView>
  </sheetViews>
  <sheetFormatPr defaultColWidth="8.85546875" defaultRowHeight="12.75"/>
  <cols>
    <col min="1" max="1" width="15" style="276" customWidth="1"/>
    <col min="2" max="2" width="4.28515625" style="276" customWidth="1"/>
    <col min="3" max="3" width="46.42578125" style="276" customWidth="1"/>
    <col min="4" max="4" width="88.7109375" style="276" customWidth="1"/>
    <col min="5" max="11" width="8.85546875" style="288"/>
    <col min="12" max="12" width="9.42578125" style="288" bestFit="1" customWidth="1"/>
    <col min="13" max="20" width="8.85546875" style="288"/>
    <col min="21" max="16384" width="8.85546875" style="276"/>
  </cols>
  <sheetData>
    <row r="1" spans="1:20" ht="80.25" customHeight="1">
      <c r="E1" s="2"/>
      <c r="F1" s="2"/>
      <c r="G1" s="2"/>
      <c r="H1" s="2"/>
      <c r="I1" s="2"/>
      <c r="J1" s="2"/>
      <c r="K1" s="2"/>
      <c r="L1" s="2"/>
      <c r="M1" s="2"/>
      <c r="N1" s="2"/>
      <c r="O1" s="2"/>
      <c r="P1" s="2"/>
      <c r="Q1" s="2"/>
      <c r="R1" s="2"/>
      <c r="S1" s="2"/>
      <c r="T1" s="2"/>
    </row>
    <row r="2" spans="1:20" s="278" customFormat="1" ht="22.5" customHeight="1">
      <c r="A2" s="2834" t="s">
        <v>1130</v>
      </c>
      <c r="B2" s="2835"/>
      <c r="C2" s="2835"/>
      <c r="D2" s="281" t="s">
        <v>930</v>
      </c>
      <c r="E2" s="2"/>
      <c r="F2" s="2"/>
      <c r="G2" s="2"/>
      <c r="H2" s="2"/>
      <c r="I2" s="2"/>
      <c r="J2" s="2"/>
      <c r="K2" s="2"/>
      <c r="L2" s="2"/>
      <c r="M2" s="2"/>
      <c r="N2" s="2"/>
      <c r="O2" s="2"/>
      <c r="P2" s="2"/>
      <c r="Q2" s="2"/>
      <c r="R2" s="2"/>
      <c r="S2" s="2"/>
      <c r="T2" s="2"/>
    </row>
    <row r="3" spans="1:20" ht="12.75" customHeight="1">
      <c r="A3" s="310"/>
      <c r="B3" s="310"/>
      <c r="C3" s="310"/>
      <c r="D3" s="310"/>
      <c r="G3" s="289"/>
      <c r="H3" s="290"/>
      <c r="I3" s="290"/>
      <c r="J3" s="290"/>
    </row>
    <row r="4" spans="1:20" ht="15" customHeight="1">
      <c r="A4" s="2836" t="s">
        <v>1195</v>
      </c>
      <c r="B4" s="2836"/>
      <c r="C4" s="2836"/>
      <c r="D4" s="2836"/>
    </row>
    <row r="5" spans="1:20" ht="38.25" customHeight="1">
      <c r="A5" s="2837" t="s">
        <v>1123</v>
      </c>
      <c r="B5" s="2837"/>
      <c r="C5" s="2837"/>
      <c r="D5" s="2837"/>
    </row>
    <row r="6" spans="1:20" ht="12.75" customHeight="1">
      <c r="A6" s="310"/>
      <c r="B6" s="310"/>
      <c r="C6" s="310"/>
      <c r="D6" s="310"/>
    </row>
    <row r="7" spans="1:20" ht="15" customHeight="1">
      <c r="A7" s="2836" t="s">
        <v>1062</v>
      </c>
      <c r="B7" s="2836"/>
      <c r="C7" s="2836"/>
      <c r="D7" s="2836"/>
    </row>
    <row r="8" spans="1:20" ht="12.75" customHeight="1">
      <c r="A8" s="393" t="s">
        <v>961</v>
      </c>
      <c r="B8" s="393"/>
      <c r="C8" s="393" t="s">
        <v>962</v>
      </c>
      <c r="D8" s="377"/>
    </row>
    <row r="9" spans="1:20" ht="12.75" customHeight="1">
      <c r="A9" s="393" t="s">
        <v>882</v>
      </c>
      <c r="B9" s="393"/>
      <c r="C9" s="393" t="s">
        <v>883</v>
      </c>
      <c r="D9" s="377"/>
    </row>
    <row r="10" spans="1:20" ht="27" customHeight="1">
      <c r="A10" s="280" t="s">
        <v>1087</v>
      </c>
      <c r="B10" s="310"/>
      <c r="C10" s="2837" t="s">
        <v>1114</v>
      </c>
      <c r="D10" s="2837"/>
    </row>
    <row r="11" spans="1:20" ht="15" customHeight="1">
      <c r="A11" s="280" t="s">
        <v>1423</v>
      </c>
      <c r="B11" s="393"/>
      <c r="C11" s="393" t="s">
        <v>963</v>
      </c>
      <c r="D11" s="310"/>
    </row>
    <row r="12" spans="1:20">
      <c r="A12" s="310" t="s">
        <v>1479</v>
      </c>
      <c r="B12" s="310"/>
      <c r="C12" s="310" t="s">
        <v>1121</v>
      </c>
      <c r="D12" s="310"/>
    </row>
    <row r="13" spans="1:20">
      <c r="A13" s="393" t="s">
        <v>1446</v>
      </c>
      <c r="B13" s="393"/>
      <c r="C13" s="393" t="s">
        <v>964</v>
      </c>
      <c r="D13" s="310"/>
    </row>
    <row r="14" spans="1:20">
      <c r="A14" s="310" t="s">
        <v>1119</v>
      </c>
      <c r="B14" s="310"/>
      <c r="C14" s="310" t="s">
        <v>1124</v>
      </c>
      <c r="D14" s="310"/>
    </row>
    <row r="15" spans="1:20">
      <c r="A15" s="310" t="s">
        <v>1103</v>
      </c>
      <c r="B15" s="310"/>
      <c r="C15" s="2837" t="s">
        <v>1107</v>
      </c>
      <c r="D15" s="2837"/>
    </row>
    <row r="16" spans="1:20">
      <c r="A16" s="310"/>
      <c r="B16" s="310"/>
      <c r="C16" s="2837" t="s">
        <v>1104</v>
      </c>
      <c r="D16" s="2837"/>
    </row>
    <row r="17" spans="1:19">
      <c r="A17" s="310" t="s">
        <v>992</v>
      </c>
      <c r="B17" s="310"/>
      <c r="C17" s="310" t="s">
        <v>993</v>
      </c>
      <c r="D17" s="310"/>
    </row>
    <row r="18" spans="1:19">
      <c r="A18" s="393" t="s">
        <v>965</v>
      </c>
      <c r="B18" s="393"/>
      <c r="C18" s="393" t="s">
        <v>966</v>
      </c>
      <c r="D18" s="310"/>
    </row>
    <row r="19" spans="1:19">
      <c r="A19" s="310" t="s">
        <v>1060</v>
      </c>
      <c r="B19" s="310"/>
      <c r="C19" s="310" t="s">
        <v>1061</v>
      </c>
      <c r="D19" s="310"/>
    </row>
    <row r="20" spans="1:19" ht="15" customHeight="1">
      <c r="A20" s="393" t="s">
        <v>967</v>
      </c>
      <c r="B20" s="393"/>
      <c r="C20" s="393" t="s">
        <v>968</v>
      </c>
      <c r="D20" s="393"/>
    </row>
    <row r="21" spans="1:19" ht="12.75" customHeight="1">
      <c r="A21" s="310" t="s">
        <v>1187</v>
      </c>
      <c r="B21" s="310"/>
      <c r="C21" s="2837" t="s">
        <v>1102</v>
      </c>
      <c r="D21" s="2837"/>
    </row>
    <row r="22" spans="1:19">
      <c r="A22" s="310"/>
      <c r="B22" s="310"/>
      <c r="C22" s="2837" t="s">
        <v>1139</v>
      </c>
      <c r="D22" s="2837"/>
    </row>
    <row r="23" spans="1:19" ht="24" customHeight="1">
      <c r="A23" s="310"/>
      <c r="B23" s="310"/>
      <c r="C23" s="2837" t="s">
        <v>1100</v>
      </c>
      <c r="D23" s="2837"/>
    </row>
    <row r="24" spans="1:19" ht="12.75" customHeight="1">
      <c r="A24" s="311"/>
      <c r="B24" s="311"/>
      <c r="C24" s="311"/>
      <c r="D24" s="311"/>
    </row>
    <row r="25" spans="1:19" ht="15" customHeight="1">
      <c r="A25" s="2836" t="s">
        <v>1138</v>
      </c>
      <c r="B25" s="2836"/>
      <c r="C25" s="2836"/>
      <c r="D25" s="2836"/>
    </row>
    <row r="26" spans="1:19">
      <c r="A26" s="2838" t="s">
        <v>1491</v>
      </c>
      <c r="B26" s="2838"/>
      <c r="C26" s="2838"/>
      <c r="D26" s="2838"/>
      <c r="E26" s="291"/>
      <c r="F26" s="291"/>
      <c r="G26" s="291"/>
      <c r="H26" s="291"/>
      <c r="I26" s="291"/>
      <c r="J26" s="291"/>
      <c r="K26" s="291"/>
      <c r="L26" s="291"/>
      <c r="M26" s="291"/>
      <c r="N26" s="291"/>
      <c r="O26" s="291"/>
      <c r="P26" s="291"/>
      <c r="Q26" s="291"/>
      <c r="R26" s="291"/>
      <c r="S26" s="291"/>
    </row>
    <row r="27" spans="1:19">
      <c r="A27" s="2838" t="s">
        <v>1492</v>
      </c>
      <c r="B27" s="2838"/>
      <c r="C27" s="2838"/>
      <c r="D27" s="2838"/>
      <c r="E27" s="291"/>
      <c r="F27" s="291"/>
      <c r="G27" s="291"/>
      <c r="H27" s="291"/>
      <c r="I27" s="291"/>
      <c r="J27" s="291"/>
      <c r="K27" s="291"/>
      <c r="L27" s="291"/>
      <c r="M27" s="291"/>
      <c r="N27" s="291"/>
      <c r="O27" s="291"/>
      <c r="P27" s="291"/>
      <c r="Q27" s="291"/>
      <c r="R27" s="291"/>
      <c r="S27" s="291"/>
    </row>
    <row r="28" spans="1:19" ht="36" customHeight="1">
      <c r="A28" s="311"/>
      <c r="B28" s="311"/>
      <c r="C28" s="2839" t="s">
        <v>1097</v>
      </c>
      <c r="D28" s="2839"/>
    </row>
    <row r="29" spans="1:19" ht="24" customHeight="1">
      <c r="A29" s="311"/>
      <c r="B29" s="311"/>
      <c r="C29" s="2839" t="s">
        <v>1125</v>
      </c>
      <c r="D29" s="2839"/>
    </row>
    <row r="30" spans="1:19" ht="15" customHeight="1">
      <c r="A30" s="2838" t="s">
        <v>1493</v>
      </c>
      <c r="B30" s="2838"/>
      <c r="C30" s="2838"/>
      <c r="D30" s="2838"/>
    </row>
    <row r="31" spans="1:19" ht="25.5" customHeight="1">
      <c r="A31" s="2839" t="s">
        <v>1494</v>
      </c>
      <c r="B31" s="2839"/>
      <c r="C31" s="2839"/>
      <c r="D31" s="2839"/>
    </row>
    <row r="32" spans="1:19">
      <c r="A32" s="2839" t="s">
        <v>1127</v>
      </c>
      <c r="B32" s="2839"/>
      <c r="C32" s="2839"/>
      <c r="D32" s="2839"/>
    </row>
    <row r="33" spans="1:20" ht="14.25" customHeight="1">
      <c r="A33" s="2838" t="s">
        <v>1086</v>
      </c>
      <c r="B33" s="2838"/>
      <c r="C33" s="2838"/>
      <c r="D33" s="2840"/>
    </row>
    <row r="34" spans="1:20" s="288" customFormat="1" ht="14.25" customHeight="1">
      <c r="A34" s="2839" t="str">
        <f>"This " &amp; D2 &amp; " of the Excel file includes guidance for calculation of GHG emissions due to land use change (sheet 'LUC'), and on improved agricultural management (sheet 'Esca')."</f>
        <v>This Version 4 - Public of the Excel file includes guidance for calculation of GHG emissions due to land use change (sheet 'LUC'), and on improved agricultural management (sheet 'Esca').</v>
      </c>
      <c r="B34" s="2839"/>
      <c r="C34" s="2839"/>
      <c r="D34" s="2839"/>
    </row>
    <row r="35" spans="1:20" s="288" customFormat="1" ht="31.5" customHeight="1">
      <c r="A35" s="2839" t="s">
        <v>1129</v>
      </c>
      <c r="B35" s="2839"/>
      <c r="C35" s="2839"/>
      <c r="D35" s="2839"/>
    </row>
    <row r="36" spans="1:20" ht="14.25" customHeight="1">
      <c r="A36" s="2838" t="s">
        <v>839</v>
      </c>
      <c r="B36" s="2838"/>
      <c r="C36" s="2838"/>
      <c r="D36" s="2840"/>
    </row>
    <row r="37" spans="1:20" s="288" customFormat="1" ht="13.5" customHeight="1">
      <c r="A37" s="2839" t="s">
        <v>1128</v>
      </c>
      <c r="B37" s="2839"/>
      <c r="C37" s="2839"/>
      <c r="D37" s="2839"/>
    </row>
    <row r="38" spans="1:20" s="288" customFormat="1" ht="13.5" customHeight="1">
      <c r="A38" s="2839" t="s">
        <v>840</v>
      </c>
      <c r="B38" s="2839"/>
      <c r="C38" s="2839"/>
      <c r="D38" s="2839"/>
    </row>
    <row r="39" spans="1:20" s="288" customFormat="1" ht="39" customHeight="1">
      <c r="A39" s="2839" t="s">
        <v>931</v>
      </c>
      <c r="B39" s="2839"/>
      <c r="C39" s="2839"/>
      <c r="D39" s="2839"/>
    </row>
    <row r="40" spans="1:20" ht="12.75" customHeight="1">
      <c r="A40" s="311"/>
      <c r="B40" s="311"/>
      <c r="C40" s="311"/>
      <c r="D40" s="311"/>
    </row>
    <row r="41" spans="1:20" ht="15" customHeight="1">
      <c r="A41" s="2843" t="s">
        <v>1495</v>
      </c>
      <c r="B41" s="2843"/>
      <c r="C41" s="2843"/>
      <c r="D41" s="2843"/>
    </row>
    <row r="42" spans="1:20" ht="51" customHeight="1">
      <c r="A42" s="2839" t="s">
        <v>1099</v>
      </c>
      <c r="B42" s="2839"/>
      <c r="C42" s="2839"/>
      <c r="D42" s="2839"/>
    </row>
    <row r="43" spans="1:20">
      <c r="A43" s="2839" t="s">
        <v>1496</v>
      </c>
      <c r="B43" s="2839"/>
      <c r="C43" s="2839"/>
      <c r="D43" s="2839"/>
    </row>
    <row r="44" spans="1:20">
      <c r="A44" s="2839" t="s">
        <v>1401</v>
      </c>
      <c r="B44" s="2839"/>
      <c r="C44" s="2839"/>
      <c r="D44" s="2839"/>
    </row>
    <row r="45" spans="1:20">
      <c r="A45" s="2839" t="s">
        <v>969</v>
      </c>
      <c r="B45" s="2839"/>
      <c r="C45" s="2839"/>
      <c r="D45" s="2839"/>
    </row>
    <row r="46" spans="1:20" s="315" customFormat="1" ht="36" customHeight="1">
      <c r="A46" s="2841" t="s">
        <v>970</v>
      </c>
      <c r="B46" s="2841"/>
      <c r="C46" s="2841"/>
      <c r="D46" s="2841"/>
      <c r="E46" s="314"/>
      <c r="F46" s="314"/>
      <c r="G46" s="314"/>
      <c r="H46" s="314"/>
      <c r="I46" s="314"/>
      <c r="J46" s="314"/>
      <c r="K46" s="314"/>
      <c r="L46" s="314"/>
      <c r="M46" s="314"/>
      <c r="N46" s="314"/>
      <c r="O46" s="314"/>
      <c r="P46" s="314"/>
      <c r="Q46" s="314"/>
      <c r="R46" s="314"/>
      <c r="S46" s="314"/>
      <c r="T46" s="314"/>
    </row>
    <row r="47" spans="1:20" s="315" customFormat="1" ht="12.75" customHeight="1">
      <c r="A47" s="313"/>
      <c r="B47" s="313"/>
      <c r="C47" s="313"/>
      <c r="D47" s="313"/>
      <c r="E47" s="314"/>
      <c r="F47" s="314"/>
      <c r="G47" s="314"/>
      <c r="H47" s="314"/>
      <c r="I47" s="314"/>
      <c r="J47" s="314"/>
      <c r="K47" s="314"/>
      <c r="L47" s="314"/>
      <c r="M47" s="314"/>
      <c r="N47" s="314"/>
      <c r="O47" s="314"/>
      <c r="P47" s="314"/>
      <c r="Q47" s="314"/>
      <c r="R47" s="314"/>
      <c r="S47" s="314"/>
      <c r="T47" s="314"/>
    </row>
    <row r="48" spans="1:20" s="315" customFormat="1" ht="12.75" customHeight="1">
      <c r="A48" s="2843" t="s">
        <v>847</v>
      </c>
      <c r="B48" s="2843"/>
      <c r="C48" s="2843"/>
      <c r="D48" s="2843"/>
      <c r="E48" s="314"/>
      <c r="F48" s="314"/>
      <c r="G48" s="314"/>
      <c r="H48" s="314"/>
      <c r="I48" s="314"/>
      <c r="J48" s="314"/>
      <c r="K48" s="314"/>
      <c r="L48" s="314"/>
      <c r="M48" s="314"/>
      <c r="N48" s="314"/>
      <c r="O48" s="314"/>
      <c r="P48" s="314"/>
      <c r="Q48" s="314"/>
      <c r="R48" s="314"/>
      <c r="S48" s="314"/>
      <c r="T48" s="314"/>
    </row>
    <row r="49" spans="1:20" s="315" customFormat="1" ht="15" customHeight="1">
      <c r="A49" s="2839" t="s">
        <v>881</v>
      </c>
      <c r="B49" s="2839"/>
      <c r="C49" s="2839"/>
      <c r="D49" s="2839"/>
      <c r="E49" s="314"/>
      <c r="F49" s="314"/>
      <c r="G49" s="314"/>
      <c r="H49" s="314"/>
      <c r="I49" s="314"/>
      <c r="J49" s="314"/>
      <c r="K49" s="314"/>
      <c r="L49" s="314"/>
      <c r="M49" s="314"/>
      <c r="N49" s="314"/>
      <c r="O49" s="314"/>
      <c r="P49" s="314"/>
      <c r="Q49" s="314"/>
      <c r="R49" s="314"/>
      <c r="S49" s="314"/>
      <c r="T49" s="314"/>
    </row>
    <row r="50" spans="1:20" s="315" customFormat="1" ht="67.5" customHeight="1">
      <c r="A50" s="2839" t="s">
        <v>808</v>
      </c>
      <c r="B50" s="2839"/>
      <c r="C50" s="2839"/>
      <c r="D50" s="2839"/>
      <c r="E50" s="314"/>
      <c r="F50" s="314"/>
      <c r="G50" s="314"/>
      <c r="H50" s="314"/>
      <c r="I50" s="314"/>
      <c r="J50" s="314"/>
      <c r="K50" s="314"/>
      <c r="L50" s="314"/>
      <c r="M50" s="314"/>
      <c r="N50" s="314"/>
      <c r="O50" s="314"/>
      <c r="P50" s="314"/>
      <c r="Q50" s="314"/>
      <c r="R50" s="314"/>
      <c r="S50" s="314"/>
      <c r="T50" s="314"/>
    </row>
    <row r="51" spans="1:20">
      <c r="A51" s="311"/>
      <c r="B51" s="311"/>
      <c r="C51" s="311"/>
      <c r="D51" s="311"/>
    </row>
    <row r="52" spans="1:20">
      <c r="A52" s="2843" t="s">
        <v>1105</v>
      </c>
      <c r="B52" s="2843"/>
      <c r="C52" s="2843"/>
      <c r="D52" s="2843"/>
    </row>
    <row r="53" spans="1:20">
      <c r="A53" s="2839" t="s">
        <v>1106</v>
      </c>
      <c r="B53" s="2839"/>
      <c r="C53" s="2839"/>
      <c r="D53" s="2839"/>
    </row>
    <row r="54" spans="1:20">
      <c r="A54" s="2842" t="s">
        <v>1084</v>
      </c>
      <c r="B54" s="2842"/>
      <c r="C54" s="2842"/>
      <c r="D54" s="2842"/>
      <c r="E54" s="291"/>
      <c r="F54" s="291"/>
      <c r="G54" s="291"/>
      <c r="H54" s="291"/>
      <c r="I54" s="291"/>
      <c r="J54" s="291"/>
      <c r="K54" s="291"/>
      <c r="L54" s="291"/>
      <c r="M54" s="291"/>
      <c r="N54" s="291"/>
      <c r="O54" s="291"/>
      <c r="P54" s="291"/>
      <c r="Q54" s="291"/>
      <c r="R54" s="291"/>
      <c r="S54" s="291"/>
    </row>
    <row r="55" spans="1:20">
      <c r="A55" s="2841" t="s">
        <v>1098</v>
      </c>
      <c r="B55" s="2841"/>
      <c r="C55" s="2841"/>
      <c r="D55" s="2841"/>
      <c r="K55" s="291"/>
      <c r="L55" s="291"/>
      <c r="M55" s="291"/>
      <c r="N55" s="291"/>
      <c r="O55" s="291"/>
      <c r="P55" s="291"/>
      <c r="Q55" s="291"/>
      <c r="R55" s="291"/>
      <c r="S55" s="291"/>
    </row>
    <row r="56" spans="1:20">
      <c r="A56" s="2844" t="s">
        <v>1135</v>
      </c>
      <c r="B56" s="2844"/>
      <c r="C56" s="2844"/>
      <c r="D56" s="2844"/>
      <c r="K56" s="291"/>
      <c r="L56" s="291"/>
      <c r="M56" s="291"/>
      <c r="N56" s="291"/>
      <c r="O56" s="291"/>
      <c r="P56" s="291"/>
      <c r="Q56" s="291"/>
      <c r="R56" s="291"/>
      <c r="S56" s="291"/>
    </row>
    <row r="57" spans="1:20" ht="40.5" customHeight="1">
      <c r="A57" s="2841" t="s">
        <v>1126</v>
      </c>
      <c r="B57" s="2841"/>
      <c r="C57" s="2841"/>
      <c r="D57" s="2841"/>
      <c r="E57" s="291"/>
      <c r="F57" s="291"/>
      <c r="G57" s="291"/>
      <c r="H57" s="291"/>
      <c r="I57" s="291"/>
      <c r="J57" s="291"/>
      <c r="K57" s="291"/>
      <c r="L57" s="291"/>
      <c r="M57" s="291"/>
      <c r="N57" s="291"/>
      <c r="O57" s="291"/>
      <c r="P57" s="291"/>
      <c r="Q57" s="291"/>
      <c r="R57" s="291"/>
      <c r="S57" s="291"/>
    </row>
    <row r="58" spans="1:20">
      <c r="A58" s="2841" t="s">
        <v>1016</v>
      </c>
      <c r="B58" s="2841"/>
      <c r="C58" s="2841"/>
      <c r="D58" s="2841"/>
      <c r="E58" s="291"/>
      <c r="F58" s="291"/>
      <c r="G58" s="291"/>
      <c r="H58" s="291"/>
      <c r="I58" s="291"/>
      <c r="J58" s="291"/>
      <c r="K58" s="291"/>
      <c r="L58" s="291"/>
      <c r="M58" s="291"/>
      <c r="N58" s="291"/>
      <c r="O58" s="291"/>
      <c r="P58" s="291"/>
      <c r="Q58" s="291"/>
      <c r="R58" s="291"/>
      <c r="S58" s="291"/>
    </row>
    <row r="59" spans="1:20">
      <c r="A59" s="2841" t="s">
        <v>1017</v>
      </c>
      <c r="B59" s="2841"/>
      <c r="C59" s="2841"/>
      <c r="D59" s="2841"/>
      <c r="E59" s="291"/>
      <c r="F59" s="291"/>
      <c r="G59" s="291"/>
      <c r="H59" s="291"/>
      <c r="I59" s="291"/>
      <c r="J59" s="291"/>
      <c r="K59" s="291"/>
      <c r="L59" s="291"/>
      <c r="M59" s="291"/>
      <c r="N59" s="291"/>
      <c r="O59" s="291"/>
      <c r="P59" s="291"/>
      <c r="Q59" s="291"/>
      <c r="R59" s="291"/>
      <c r="S59" s="291"/>
    </row>
    <row r="60" spans="1:20">
      <c r="A60" s="2839" t="s">
        <v>1136</v>
      </c>
      <c r="B60" s="2839"/>
      <c r="C60" s="2839"/>
      <c r="D60" s="2839"/>
    </row>
    <row r="61" spans="1:20">
      <c r="A61" s="2841" t="s">
        <v>1018</v>
      </c>
      <c r="B61" s="2841"/>
      <c r="C61" s="2841"/>
      <c r="D61" s="2841"/>
      <c r="J61" s="291"/>
      <c r="K61" s="291"/>
      <c r="L61" s="291"/>
    </row>
    <row r="62" spans="1:20">
      <c r="A62" s="2844" t="s">
        <v>1137</v>
      </c>
      <c r="B62" s="2845"/>
      <c r="C62" s="2845"/>
      <c r="D62" s="313"/>
      <c r="J62" s="291"/>
      <c r="K62" s="291"/>
      <c r="L62" s="291"/>
    </row>
    <row r="63" spans="1:20">
      <c r="A63" s="2841" t="s">
        <v>904</v>
      </c>
      <c r="B63" s="2841"/>
      <c r="C63" s="2841"/>
      <c r="D63" s="2841"/>
    </row>
    <row r="64" spans="1:20" ht="27.75" customHeight="1">
      <c r="A64" s="2841" t="s">
        <v>1019</v>
      </c>
      <c r="B64" s="2841"/>
      <c r="C64" s="2841"/>
      <c r="D64" s="2841"/>
    </row>
    <row r="65" spans="1:14" ht="12.75" customHeight="1">
      <c r="A65" s="2839" t="s">
        <v>1101</v>
      </c>
      <c r="B65" s="2839"/>
      <c r="C65" s="2839"/>
      <c r="D65" s="2839"/>
    </row>
    <row r="66" spans="1:14" ht="40.5" customHeight="1">
      <c r="A66" s="2841" t="s">
        <v>1096</v>
      </c>
      <c r="B66" s="2841"/>
      <c r="C66" s="2841"/>
      <c r="D66" s="2841"/>
    </row>
    <row r="67" spans="1:14">
      <c r="A67" s="2841" t="s">
        <v>1057</v>
      </c>
      <c r="B67" s="2841"/>
      <c r="C67" s="2841"/>
      <c r="D67" s="2841"/>
    </row>
    <row r="68" spans="1:14" ht="25.5" customHeight="1">
      <c r="A68" s="2841" t="s">
        <v>1000</v>
      </c>
      <c r="B68" s="2841"/>
      <c r="C68" s="2841"/>
      <c r="D68" s="2841"/>
    </row>
    <row r="69" spans="1:14">
      <c r="A69" s="312"/>
      <c r="B69" s="311"/>
      <c r="C69" s="311"/>
      <c r="D69" s="311"/>
    </row>
    <row r="70" spans="1:14">
      <c r="A70" s="2843" t="s">
        <v>1085</v>
      </c>
      <c r="B70" s="2843"/>
      <c r="C70" s="2843"/>
      <c r="D70" s="2843"/>
    </row>
    <row r="71" spans="1:14" ht="36.75" customHeight="1">
      <c r="A71" s="2839" t="s">
        <v>1007</v>
      </c>
      <c r="B71" s="2839"/>
      <c r="C71" s="2839"/>
      <c r="D71" s="2839"/>
    </row>
    <row r="72" spans="1:14" ht="15" customHeight="1">
      <c r="A72" s="2839" t="s">
        <v>1201</v>
      </c>
      <c r="B72" s="2839"/>
      <c r="C72" s="2839"/>
      <c r="D72" s="2839"/>
    </row>
    <row r="73" spans="1:14">
      <c r="A73" s="2839" t="s">
        <v>1008</v>
      </c>
      <c r="B73" s="2839"/>
      <c r="C73" s="2839"/>
      <c r="D73" s="2839"/>
    </row>
    <row r="74" spans="1:14">
      <c r="A74" s="2846" t="s">
        <v>1012</v>
      </c>
      <c r="B74" s="2846"/>
      <c r="C74" s="2846"/>
      <c r="D74" s="2846"/>
    </row>
    <row r="75" spans="1:14">
      <c r="A75" s="2839" t="s">
        <v>1009</v>
      </c>
      <c r="B75" s="2839"/>
      <c r="C75" s="2839"/>
      <c r="D75" s="2839"/>
    </row>
    <row r="76" spans="1:14">
      <c r="A76" s="2846" t="s">
        <v>1013</v>
      </c>
      <c r="B76" s="2846"/>
      <c r="C76" s="2846"/>
      <c r="D76" s="2846"/>
    </row>
    <row r="77" spans="1:14">
      <c r="A77" s="2839" t="s">
        <v>971</v>
      </c>
      <c r="B77" s="2839"/>
      <c r="C77" s="2839"/>
      <c r="D77" s="2839"/>
    </row>
    <row r="78" spans="1:14" ht="13.5" thickBot="1">
      <c r="A78" s="2839" t="s">
        <v>1131</v>
      </c>
      <c r="B78" s="2839"/>
      <c r="C78" s="2839"/>
      <c r="D78" s="2839"/>
      <c r="N78" s="571" t="b">
        <v>0</v>
      </c>
    </row>
    <row r="79" spans="1:14" ht="13.5" thickBot="1">
      <c r="A79" s="311"/>
      <c r="B79" s="570">
        <v>1</v>
      </c>
      <c r="C79" s="311"/>
      <c r="D79" s="311"/>
      <c r="N79" s="572"/>
    </row>
    <row r="80" spans="1:14">
      <c r="A80" s="2839" t="s">
        <v>1010</v>
      </c>
      <c r="B80" s="2839"/>
      <c r="C80" s="2839"/>
      <c r="D80" s="2839"/>
      <c r="N80" s="571" t="b">
        <v>1</v>
      </c>
    </row>
    <row r="81" spans="1:16" ht="24.75" customHeight="1">
      <c r="A81" s="2839" t="s">
        <v>1003</v>
      </c>
      <c r="B81" s="2839"/>
      <c r="C81" s="2839"/>
      <c r="D81" s="2839"/>
    </row>
    <row r="82" spans="1:16">
      <c r="A82" s="311"/>
      <c r="B82" s="311"/>
      <c r="C82" s="311"/>
      <c r="D82" s="311"/>
    </row>
    <row r="83" spans="1:16">
      <c r="A83" s="2843" t="s">
        <v>1497</v>
      </c>
      <c r="B83" s="2843"/>
      <c r="C83" s="2843"/>
      <c r="D83" s="2843"/>
    </row>
    <row r="84" spans="1:16">
      <c r="A84" s="2839" t="s">
        <v>1488</v>
      </c>
      <c r="B84" s="2839"/>
      <c r="C84" s="2839"/>
      <c r="D84" s="2839"/>
    </row>
    <row r="85" spans="1:16">
      <c r="A85" s="2848" t="s">
        <v>1489</v>
      </c>
      <c r="B85" s="2848"/>
      <c r="C85" s="2848"/>
      <c r="D85" s="2848"/>
    </row>
    <row r="86" spans="1:16">
      <c r="A86" s="311"/>
      <c r="B86" s="311"/>
      <c r="C86" s="311"/>
      <c r="D86" s="311"/>
    </row>
    <row r="87" spans="1:16">
      <c r="A87" s="2843" t="s">
        <v>1498</v>
      </c>
      <c r="B87" s="2843"/>
      <c r="C87" s="2843"/>
      <c r="D87" s="2843"/>
    </row>
    <row r="88" spans="1:16">
      <c r="A88" s="2839" t="s">
        <v>1499</v>
      </c>
      <c r="B88" s="2839"/>
      <c r="C88" s="2839"/>
      <c r="D88" s="2839"/>
    </row>
    <row r="89" spans="1:16">
      <c r="A89" s="2848" t="s">
        <v>1500</v>
      </c>
      <c r="B89" s="2839"/>
      <c r="C89" s="2839"/>
      <c r="D89" s="2839"/>
    </row>
    <row r="90" spans="1:16">
      <c r="A90" s="311"/>
      <c r="B90" s="311"/>
      <c r="C90" s="311"/>
      <c r="D90" s="311"/>
    </row>
    <row r="91" spans="1:16">
      <c r="A91" s="311"/>
      <c r="B91" s="311"/>
      <c r="C91" s="311"/>
      <c r="D91" s="311"/>
      <c r="K91" s="291"/>
      <c r="L91" s="291"/>
    </row>
    <row r="92" spans="1:16" ht="24" customHeight="1">
      <c r="A92" s="2847" t="s">
        <v>1490</v>
      </c>
      <c r="B92" s="2847"/>
      <c r="C92" s="2847"/>
      <c r="D92" s="2847"/>
    </row>
    <row r="93" spans="1:16">
      <c r="A93" s="277"/>
      <c r="B93" s="277"/>
      <c r="C93" s="277"/>
      <c r="D93" s="277"/>
    </row>
    <row r="94" spans="1:16">
      <c r="A94" s="277"/>
      <c r="B94" s="277"/>
      <c r="C94" s="316"/>
      <c r="D94" s="277"/>
    </row>
    <row r="95" spans="1:16">
      <c r="A95" s="277"/>
      <c r="B95" s="277"/>
      <c r="C95" s="277"/>
      <c r="D95" s="277"/>
      <c r="N95" s="291"/>
      <c r="O95" s="291"/>
      <c r="P95" s="291"/>
    </row>
    <row r="96" spans="1:16">
      <c r="A96" s="277"/>
      <c r="B96" s="277"/>
      <c r="C96" s="277"/>
      <c r="D96" s="277"/>
    </row>
    <row r="97" spans="1:7">
      <c r="A97" s="277"/>
      <c r="B97" s="277"/>
      <c r="C97" s="277"/>
      <c r="D97" s="277"/>
      <c r="G97" s="292"/>
    </row>
    <row r="98" spans="1:7">
      <c r="A98" s="277"/>
      <c r="B98" s="277"/>
      <c r="C98" s="277"/>
      <c r="D98" s="277"/>
      <c r="G98" s="293"/>
    </row>
    <row r="99" spans="1:7">
      <c r="A99" s="288"/>
      <c r="B99" s="288"/>
      <c r="C99" s="288"/>
      <c r="D99" s="288"/>
      <c r="G99" s="292"/>
    </row>
    <row r="100" spans="1:7">
      <c r="A100" s="288"/>
      <c r="B100" s="288"/>
      <c r="C100" s="288"/>
      <c r="D100" s="288"/>
      <c r="G100" s="294"/>
    </row>
    <row r="101" spans="1:7">
      <c r="A101" s="288"/>
      <c r="B101" s="288"/>
      <c r="C101" s="288"/>
      <c r="D101" s="288"/>
    </row>
    <row r="102" spans="1:7">
      <c r="A102" s="288"/>
      <c r="B102" s="288"/>
      <c r="C102" s="288"/>
      <c r="D102" s="288"/>
    </row>
    <row r="103" spans="1:7">
      <c r="A103" s="288"/>
      <c r="B103" s="288"/>
      <c r="C103" s="288"/>
      <c r="D103" s="288"/>
    </row>
    <row r="104" spans="1:7">
      <c r="A104" s="288"/>
      <c r="B104" s="288"/>
      <c r="C104" s="288"/>
      <c r="D104" s="288"/>
    </row>
    <row r="105" spans="1:7">
      <c r="A105" s="288"/>
      <c r="B105" s="288"/>
      <c r="C105" s="288"/>
      <c r="D105" s="288"/>
    </row>
    <row r="106" spans="1:7">
      <c r="A106" s="288"/>
      <c r="B106" s="288"/>
      <c r="C106" s="288"/>
      <c r="D106" s="288"/>
    </row>
    <row r="107" spans="1:7">
      <c r="A107" s="288"/>
      <c r="B107" s="288"/>
      <c r="C107" s="288"/>
      <c r="D107" s="288"/>
    </row>
    <row r="108" spans="1:7">
      <c r="A108" s="288"/>
      <c r="B108" s="288"/>
      <c r="C108" s="288"/>
      <c r="D108" s="288"/>
    </row>
  </sheetData>
  <sheetProtection password="9D8F" sheet="1"/>
  <customSheetViews>
    <customSheetView guid="{AD88818B-9F97-4B1E-9426-0DECE603685E}" fitToPage="1" showRuler="0">
      <pane ySplit="2" topLeftCell="A3" activePane="bottomLeft" state="frozenSplit"/>
      <selection pane="bottomLeft" activeCell="F10" sqref="F10"/>
      <pageMargins left="0.7" right="0.7" top="0.75" bottom="0.75" header="0.3" footer="0.3"/>
      <headerFooter alignWithMargins="0">
        <oddFooter>&amp;L&amp;8&amp;F&amp;C&amp;8&amp;A&amp;R&amp;8page&amp;P</oddFooter>
      </headerFooter>
    </customSheetView>
    <customSheetView guid="{7EB5D807-CE20-46E2-AEE6-2C193E010EA4}" fitToPage="1" showRuler="0">
      <pane ySplit="2" topLeftCell="A3" activePane="bottomLeft" state="frozenSplit"/>
      <selection pane="bottomLeft" activeCell="F10" sqref="F10"/>
      <pageMargins left="0.7" right="0.7" top="0.75" bottom="0.75" header="0.3" footer="0.3"/>
      <headerFooter alignWithMargins="0">
        <oddFooter>&amp;L&amp;8&amp;F&amp;C&amp;8&amp;A&amp;R&amp;8page&amp;P</oddFooter>
      </headerFooter>
    </customSheetView>
  </customSheetViews>
  <mergeCells count="69">
    <mergeCell ref="A92:D92"/>
    <mergeCell ref="A85:D85"/>
    <mergeCell ref="A87:D87"/>
    <mergeCell ref="A88:D88"/>
    <mergeCell ref="A89:D89"/>
    <mergeCell ref="A72:D72"/>
    <mergeCell ref="A73:D73"/>
    <mergeCell ref="A83:D83"/>
    <mergeCell ref="A84:D84"/>
    <mergeCell ref="A74:D74"/>
    <mergeCell ref="A75:D75"/>
    <mergeCell ref="A76:D76"/>
    <mergeCell ref="A77:D77"/>
    <mergeCell ref="A78:D78"/>
    <mergeCell ref="A81:D81"/>
    <mergeCell ref="A80:D80"/>
    <mergeCell ref="A56:D56"/>
    <mergeCell ref="A70:D70"/>
    <mergeCell ref="A64:D64"/>
    <mergeCell ref="A65:D65"/>
    <mergeCell ref="A66:D66"/>
    <mergeCell ref="A57:D57"/>
    <mergeCell ref="A58:D58"/>
    <mergeCell ref="A71:D71"/>
    <mergeCell ref="A59:D59"/>
    <mergeCell ref="A60:D60"/>
    <mergeCell ref="A61:D61"/>
    <mergeCell ref="A63:D63"/>
    <mergeCell ref="A62:C62"/>
    <mergeCell ref="A67:D67"/>
    <mergeCell ref="A68:D68"/>
    <mergeCell ref="A53:D53"/>
    <mergeCell ref="A42:D42"/>
    <mergeCell ref="A43:D43"/>
    <mergeCell ref="A55:D55"/>
    <mergeCell ref="A33:D33"/>
    <mergeCell ref="A35:D35"/>
    <mergeCell ref="A54:D54"/>
    <mergeCell ref="A48:D48"/>
    <mergeCell ref="A49:D49"/>
    <mergeCell ref="A50:D50"/>
    <mergeCell ref="A38:D38"/>
    <mergeCell ref="A46:D46"/>
    <mergeCell ref="A52:D52"/>
    <mergeCell ref="A44:D44"/>
    <mergeCell ref="A41:D41"/>
    <mergeCell ref="A39:D39"/>
    <mergeCell ref="A45:D45"/>
    <mergeCell ref="A36:D36"/>
    <mergeCell ref="A37:D37"/>
    <mergeCell ref="C28:D28"/>
    <mergeCell ref="C29:D29"/>
    <mergeCell ref="A30:D30"/>
    <mergeCell ref="A32:D32"/>
    <mergeCell ref="A34:D34"/>
    <mergeCell ref="A31:D31"/>
    <mergeCell ref="A2:C2"/>
    <mergeCell ref="A4:D4"/>
    <mergeCell ref="A5:D5"/>
    <mergeCell ref="A27:D27"/>
    <mergeCell ref="C21:D21"/>
    <mergeCell ref="A7:D7"/>
    <mergeCell ref="C10:D10"/>
    <mergeCell ref="C15:D15"/>
    <mergeCell ref="C16:D16"/>
    <mergeCell ref="C22:D22"/>
    <mergeCell ref="C23:D23"/>
    <mergeCell ref="A25:D25"/>
    <mergeCell ref="A26:D26"/>
  </mergeCells>
  <phoneticPr fontId="28" type="noConversion"/>
  <hyperlinks>
    <hyperlink ref="A56" r:id="rId1"/>
    <hyperlink ref="A62" r:id="rId2"/>
    <hyperlink ref="A85" r:id="rId3"/>
    <hyperlink ref="A89" r:id="rId4"/>
  </hyperlinks>
  <pageMargins left="0.75" right="0.75" top="0.73" bottom="1" header="0.5" footer="0.5"/>
  <headerFooter alignWithMargins="0">
    <oddFooter>&amp;L&amp;8&amp;F&amp;C&amp;8&amp;A&amp;R&amp;8page&amp;P</oddFooter>
  </headerFooter>
  <drawing r:id="rId5"/>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sheetPr codeName="Blad26">
    <pageSetUpPr fitToPage="1"/>
  </sheetPr>
  <dimension ref="A1:O185"/>
  <sheetViews>
    <sheetView showGridLines="0" zoomScale="80" workbookViewId="0">
      <selection activeCell="R20" sqref="R20"/>
    </sheetView>
  </sheetViews>
  <sheetFormatPr defaultColWidth="8.85546875" defaultRowHeight="12.75"/>
  <cols>
    <col min="1" max="1" width="22.42578125" style="2184" customWidth="1"/>
    <col min="2" max="2" width="25.85546875" style="2184" customWidth="1"/>
    <col min="3" max="3" width="9.7109375" style="2184" customWidth="1"/>
    <col min="4" max="4" width="20.140625" style="2184" customWidth="1"/>
    <col min="5" max="5" width="14.85546875" style="2184" customWidth="1"/>
    <col min="6" max="6" width="8.42578125" style="2184" customWidth="1"/>
    <col min="7" max="7" width="2.85546875" style="2184" customWidth="1"/>
    <col min="8" max="8" width="19.42578125" style="2184" customWidth="1"/>
    <col min="9" max="12" width="9.140625" style="2184" customWidth="1"/>
    <col min="13" max="13" width="2.42578125" style="2184" customWidth="1"/>
    <col min="14" max="14" width="16.7109375" style="2184" customWidth="1"/>
    <col min="15" max="15" width="13.7109375" style="2184" customWidth="1"/>
    <col min="16" max="16384" width="8.85546875" style="2183"/>
  </cols>
  <sheetData>
    <row r="1" spans="1:15" ht="102" customHeight="1"/>
    <row r="2" spans="1:15" ht="27.75" customHeight="1">
      <c r="A2" s="2470" t="s">
        <v>193</v>
      </c>
      <c r="B2" s="2469" t="s">
        <v>1408</v>
      </c>
      <c r="C2" s="2468" t="s">
        <v>1417</v>
      </c>
      <c r="D2" s="2468" t="s">
        <v>1440</v>
      </c>
      <c r="E2" s="2468" t="s">
        <v>80</v>
      </c>
      <c r="F2" s="2467"/>
      <c r="G2" s="2467"/>
      <c r="H2" s="2466"/>
      <c r="I2" s="2462"/>
      <c r="J2" s="2465"/>
      <c r="K2" s="2464"/>
      <c r="L2" s="2463"/>
      <c r="M2" s="2462"/>
      <c r="N2" s="2462"/>
      <c r="O2" s="2461" t="str">
        <f>[3]About!D2</f>
        <v>Version 4 - Public</v>
      </c>
    </row>
    <row r="3" spans="1:15" ht="27.75" customHeight="1">
      <c r="A3" s="2460" t="s">
        <v>190</v>
      </c>
      <c r="B3" s="2458"/>
      <c r="C3" s="2459"/>
      <c r="D3" s="2459"/>
      <c r="E3" s="2458"/>
      <c r="F3" s="2458"/>
      <c r="G3" s="2458"/>
      <c r="H3" s="2295"/>
      <c r="I3" s="2233"/>
      <c r="J3" s="2457"/>
      <c r="K3" s="2297"/>
      <c r="L3" s="2457"/>
      <c r="M3" s="2457"/>
      <c r="N3" s="2194"/>
      <c r="O3" s="2297"/>
    </row>
    <row r="4" spans="1:15" ht="16.5" customHeight="1">
      <c r="A4" s="2456" t="s">
        <v>189</v>
      </c>
      <c r="B4" s="2455" t="s">
        <v>188</v>
      </c>
      <c r="C4" s="2455" t="s">
        <v>150</v>
      </c>
      <c r="D4" s="2455" t="s">
        <v>187</v>
      </c>
      <c r="E4" s="2454" t="s">
        <v>151</v>
      </c>
      <c r="F4" s="2453" t="s">
        <v>186</v>
      </c>
      <c r="G4" s="2452"/>
      <c r="H4" s="2451" t="s">
        <v>185</v>
      </c>
      <c r="I4" s="2293"/>
      <c r="J4" s="2449" t="s">
        <v>184</v>
      </c>
      <c r="K4" s="2226"/>
      <c r="L4" s="2450"/>
      <c r="M4" s="2193"/>
      <c r="N4" s="2449" t="s">
        <v>183</v>
      </c>
      <c r="O4" s="2448"/>
    </row>
    <row r="5" spans="1:15" ht="16.5" customHeight="1">
      <c r="A5" s="2447" t="s">
        <v>182</v>
      </c>
      <c r="B5" s="2446" t="s">
        <v>180</v>
      </c>
      <c r="C5" s="2446" t="s">
        <v>181</v>
      </c>
      <c r="D5" s="2446" t="s">
        <v>180</v>
      </c>
      <c r="E5" s="2445"/>
      <c r="F5" s="2444" t="s">
        <v>179</v>
      </c>
      <c r="G5" s="2443"/>
      <c r="H5" s="2442" t="s">
        <v>178</v>
      </c>
      <c r="I5" s="2193"/>
      <c r="J5" s="2412" t="str">
        <f>A63</f>
        <v>Ethanol plant</v>
      </c>
      <c r="K5" s="2441"/>
      <c r="L5" s="2429"/>
      <c r="M5" s="2193"/>
      <c r="N5" s="2412" t="s">
        <v>177</v>
      </c>
      <c r="O5" s="2429"/>
    </row>
    <row r="6" spans="1:15" ht="16.5" customHeight="1">
      <c r="A6" s="2424" t="s">
        <v>176</v>
      </c>
      <c r="B6" s="2440"/>
      <c r="C6" s="2439"/>
      <c r="D6" s="2438"/>
      <c r="E6" s="2437">
        <f>IF(F6="A",D7,H6)</f>
        <v>23.428245342469936</v>
      </c>
      <c r="F6" s="2422" t="s">
        <v>1486</v>
      </c>
      <c r="G6" s="2421"/>
      <c r="H6" s="2420">
        <v>23</v>
      </c>
      <c r="I6" s="2193"/>
      <c r="J6" s="2436">
        <f>F87/F89</f>
        <v>0.59511653718091007</v>
      </c>
      <c r="K6" s="2315" t="s">
        <v>1438</v>
      </c>
      <c r="L6" s="2435"/>
      <c r="M6" s="2193"/>
      <c r="N6" s="2434">
        <v>83.8</v>
      </c>
      <c r="O6" s="2433" t="s">
        <v>175</v>
      </c>
    </row>
    <row r="7" spans="1:15" ht="12" customHeight="1">
      <c r="A7" s="2412" t="str">
        <f>A20</f>
        <v>Cultivation of wheat</v>
      </c>
      <c r="B7" s="2411">
        <f>L41</f>
        <v>39.367491707507298</v>
      </c>
      <c r="C7" s="2419">
        <f>J6</f>
        <v>0.59511653718091007</v>
      </c>
      <c r="D7" s="2247">
        <f>C7*B7</f>
        <v>23.428245342469936</v>
      </c>
      <c r="E7" s="2426"/>
      <c r="F7" s="2417"/>
      <c r="G7" s="2417"/>
      <c r="H7" s="2254">
        <f>23.43</f>
        <v>23.43</v>
      </c>
      <c r="I7" s="2193"/>
      <c r="J7" s="2432">
        <f>1-J6</f>
        <v>0.40488346281908993</v>
      </c>
      <c r="K7" s="2431" t="s">
        <v>1439</v>
      </c>
      <c r="L7" s="2430"/>
      <c r="M7" s="2193"/>
      <c r="N7" s="2412" t="s">
        <v>173</v>
      </c>
      <c r="O7" s="2429"/>
    </row>
    <row r="8" spans="1:15" ht="16.5" customHeight="1">
      <c r="A8" s="2424" t="s">
        <v>172</v>
      </c>
      <c r="B8" s="2201"/>
      <c r="C8" s="2201"/>
      <c r="D8" s="2423"/>
      <c r="E8" s="2404">
        <f>IF(F8="A",D9,H8)</f>
        <v>44.554379885147981</v>
      </c>
      <c r="F8" s="2422" t="s">
        <v>1486</v>
      </c>
      <c r="G8" s="2421"/>
      <c r="H8" s="2420">
        <v>45</v>
      </c>
      <c r="I8" s="2193"/>
      <c r="J8" s="2193"/>
      <c r="K8" s="2193"/>
      <c r="L8" s="2193"/>
      <c r="M8" s="2193"/>
      <c r="N8" s="2428">
        <f>(N6-E17)/N6</f>
        <v>0.16598068591785561</v>
      </c>
      <c r="O8" s="2427"/>
    </row>
    <row r="9" spans="1:15" ht="12" customHeight="1">
      <c r="A9" s="2412" t="str">
        <f>A63</f>
        <v>Ethanol plant</v>
      </c>
      <c r="B9" s="2411">
        <f>L81</f>
        <v>74.866647289291933</v>
      </c>
      <c r="C9" s="2419">
        <f>J6</f>
        <v>0.59511653718091007</v>
      </c>
      <c r="D9" s="2247">
        <f>C9*B9</f>
        <v>44.554379885147981</v>
      </c>
      <c r="E9" s="2426"/>
      <c r="F9" s="2417"/>
      <c r="G9" s="2417"/>
      <c r="H9" s="2254">
        <f>1.4*31.87</f>
        <v>44.618000000000002</v>
      </c>
      <c r="I9" s="2193"/>
      <c r="J9" s="2193"/>
      <c r="K9" s="2193"/>
      <c r="L9" s="2193"/>
      <c r="M9" s="2193"/>
      <c r="N9" s="2193"/>
      <c r="O9" s="2489"/>
    </row>
    <row r="10" spans="1:15" ht="16.5" customHeight="1">
      <c r="A10" s="2424" t="s">
        <v>171</v>
      </c>
      <c r="B10" s="2201"/>
      <c r="C10" s="2201"/>
      <c r="D10" s="2423"/>
      <c r="E10" s="2404">
        <f>IF(F10="A",D11+D12+D13+D14, H10)</f>
        <v>1.9081932924657827</v>
      </c>
      <c r="F10" s="2422" t="s">
        <v>1486</v>
      </c>
      <c r="G10" s="2421"/>
      <c r="H10" s="2420">
        <v>2</v>
      </c>
      <c r="I10" s="2193"/>
      <c r="J10" s="2193"/>
      <c r="K10" s="2193"/>
      <c r="L10" s="2193"/>
      <c r="M10" s="2193"/>
      <c r="N10" s="2193"/>
      <c r="O10" s="2329"/>
    </row>
    <row r="11" spans="1:15" ht="12" customHeight="1" thickBot="1">
      <c r="A11" s="2412" t="str">
        <f>A44</f>
        <v>Handling &amp; storage of wheat</v>
      </c>
      <c r="B11" s="2411">
        <f>L50</f>
        <v>9.7721115771996853E-2</v>
      </c>
      <c r="C11" s="2419">
        <f>J6</f>
        <v>0.59511653718091007</v>
      </c>
      <c r="D11" s="2247">
        <f t="shared" ref="D11:D16" si="0">C11*B11</f>
        <v>5.8155452027685579E-2</v>
      </c>
      <c r="E11" s="2418"/>
      <c r="F11" s="2421"/>
      <c r="G11" s="2421"/>
      <c r="H11" s="3313">
        <f>0.38</f>
        <v>0.38</v>
      </c>
      <c r="I11" s="2193"/>
      <c r="J11" s="2193"/>
      <c r="K11" s="2193"/>
      <c r="L11" s="2193"/>
      <c r="M11" s="2193"/>
      <c r="N11" s="2193"/>
      <c r="O11" s="3315"/>
    </row>
    <row r="12" spans="1:15" ht="12" customHeight="1">
      <c r="A12" s="2412" t="str">
        <f>A53</f>
        <v>Transport of wheat</v>
      </c>
      <c r="B12" s="2411">
        <f>L60</f>
        <v>0.52060153661066044</v>
      </c>
      <c r="C12" s="2419">
        <f>J6</f>
        <v>0.59511653718091007</v>
      </c>
      <c r="D12" s="2247">
        <f t="shared" si="0"/>
        <v>0.309818583718797</v>
      </c>
      <c r="E12" s="2418"/>
      <c r="F12" s="2417"/>
      <c r="G12" s="2417"/>
      <c r="H12" s="3314"/>
      <c r="I12" s="2193"/>
      <c r="J12" s="2416" t="s">
        <v>170</v>
      </c>
      <c r="K12" s="2381"/>
      <c r="L12" s="2381"/>
      <c r="M12" s="2381"/>
      <c r="N12" s="2415"/>
      <c r="O12" s="3315"/>
    </row>
    <row r="13" spans="1:15" ht="12" customHeight="1">
      <c r="A13" s="2412" t="str">
        <f>A93</f>
        <v>Transport of ethanol</v>
      </c>
      <c r="B13" s="2411">
        <f>L102</f>
        <v>1.0989339178304114</v>
      </c>
      <c r="C13" s="2410">
        <v>1</v>
      </c>
      <c r="D13" s="2247">
        <f t="shared" si="0"/>
        <v>1.0989339178304114</v>
      </c>
      <c r="E13" s="2337"/>
      <c r="F13" s="2298"/>
      <c r="G13" s="2298"/>
      <c r="H13" s="2254">
        <f>1.1</f>
        <v>1.1000000000000001</v>
      </c>
      <c r="I13" s="2193"/>
      <c r="J13" s="2401"/>
      <c r="K13" s="2376"/>
      <c r="L13" s="2376"/>
      <c r="M13" s="2376"/>
      <c r="N13" s="2413"/>
      <c r="O13" s="2425"/>
    </row>
    <row r="14" spans="1:15" ht="12" customHeight="1">
      <c r="A14" s="2412" t="str">
        <f>A105</f>
        <v>Filling station</v>
      </c>
      <c r="B14" s="2411">
        <f>L110</f>
        <v>0.44128533888888888</v>
      </c>
      <c r="C14" s="2410">
        <v>1</v>
      </c>
      <c r="D14" s="2247">
        <f t="shared" si="0"/>
        <v>0.44128533888888888</v>
      </c>
      <c r="E14" s="2337"/>
      <c r="F14" s="2298"/>
      <c r="G14" s="2298"/>
      <c r="H14" s="2254">
        <f>0.44</f>
        <v>0.44</v>
      </c>
      <c r="I14" s="2193"/>
      <c r="J14" s="2401"/>
      <c r="K14" s="2376"/>
      <c r="L14" s="2376"/>
      <c r="M14" s="2377"/>
      <c r="N14" s="2409"/>
      <c r="O14" s="2425"/>
    </row>
    <row r="15" spans="1:15" ht="17.25" customHeight="1">
      <c r="A15" s="2407" t="s">
        <v>169</v>
      </c>
      <c r="B15" s="2405">
        <f>L126</f>
        <v>0</v>
      </c>
      <c r="C15" s="2408">
        <f>J6</f>
        <v>0.59511653718091007</v>
      </c>
      <c r="D15" s="2405">
        <f t="shared" si="0"/>
        <v>0</v>
      </c>
      <c r="E15" s="2404">
        <f>D15</f>
        <v>0</v>
      </c>
      <c r="F15" s="2488"/>
      <c r="G15" s="2488"/>
      <c r="H15" s="2402">
        <v>0</v>
      </c>
      <c r="I15" s="2193"/>
      <c r="J15" s="2401"/>
      <c r="K15" s="2376"/>
      <c r="L15" s="2376"/>
      <c r="M15" s="2392"/>
      <c r="N15" s="2391"/>
      <c r="O15" s="2487"/>
    </row>
    <row r="16" spans="1:15" ht="16.5" customHeight="1">
      <c r="A16" s="2407" t="s">
        <v>1194</v>
      </c>
      <c r="B16" s="2405">
        <f>L140+L146+L152</f>
        <v>0</v>
      </c>
      <c r="C16" s="2406">
        <v>1</v>
      </c>
      <c r="D16" s="2405">
        <f t="shared" si="0"/>
        <v>0</v>
      </c>
      <c r="E16" s="2404">
        <f>D16</f>
        <v>0</v>
      </c>
      <c r="F16" s="2403"/>
      <c r="G16" s="2403"/>
      <c r="H16" s="2402">
        <v>0</v>
      </c>
      <c r="I16" s="2194"/>
      <c r="J16" s="2401"/>
      <c r="K16" s="2376"/>
      <c r="L16" s="2376"/>
      <c r="M16" s="2392"/>
      <c r="N16" s="2391"/>
      <c r="O16" s="2487"/>
    </row>
    <row r="17" spans="1:15" ht="16.5" customHeight="1" thickBot="1">
      <c r="A17" s="2400" t="s">
        <v>168</v>
      </c>
      <c r="B17" s="2399">
        <f>SUM(B7:B15)-B16</f>
        <v>116.39268090590119</v>
      </c>
      <c r="C17" s="2398"/>
      <c r="D17" s="2486"/>
      <c r="E17" s="2485">
        <f>SUM(E6:E15)-E16</f>
        <v>69.890818520083698</v>
      </c>
      <c r="F17" s="2395"/>
      <c r="G17" s="2395"/>
      <c r="H17" s="2484">
        <v>70</v>
      </c>
      <c r="I17" s="2194"/>
      <c r="J17" s="2483" t="s">
        <v>167</v>
      </c>
      <c r="K17" s="2482"/>
      <c r="L17" s="2482"/>
      <c r="M17" s="2481"/>
      <c r="N17" s="2480"/>
      <c r="O17" s="2479"/>
    </row>
    <row r="18" spans="1:15" ht="16.5" customHeight="1">
      <c r="A18" s="2389"/>
      <c r="B18" s="2388"/>
      <c r="E18" s="2387" t="s">
        <v>166</v>
      </c>
      <c r="F18" s="2386"/>
      <c r="G18" s="2386"/>
      <c r="H18" s="2385"/>
      <c r="I18" s="2384"/>
      <c r="J18" s="2383"/>
      <c r="K18" s="2381"/>
      <c r="L18" s="2382"/>
      <c r="M18" s="2381"/>
      <c r="N18" s="2381"/>
      <c r="O18" s="2380"/>
    </row>
    <row r="19" spans="1:15" ht="22.5" customHeight="1" thickBot="1">
      <c r="A19" s="2379" t="s">
        <v>1452</v>
      </c>
      <c r="B19" s="2194"/>
      <c r="E19" s="2378" t="s">
        <v>165</v>
      </c>
      <c r="F19" s="2377"/>
      <c r="G19" s="2377"/>
      <c r="H19" s="2377"/>
      <c r="I19" s="2376"/>
      <c r="J19" s="2375"/>
      <c r="K19" s="2375"/>
      <c r="L19" s="2374"/>
      <c r="M19" s="2373"/>
      <c r="N19" s="2373"/>
      <c r="O19" s="2372"/>
    </row>
    <row r="20" spans="1:15" ht="15.75">
      <c r="A20" s="2371" t="s">
        <v>1405</v>
      </c>
      <c r="B20" s="2370"/>
      <c r="C20" s="2370"/>
      <c r="D20" s="2370"/>
      <c r="E20" s="2371" t="s">
        <v>239</v>
      </c>
      <c r="F20" s="2368"/>
      <c r="G20" s="2368"/>
      <c r="H20" s="2370"/>
      <c r="I20" s="2369" t="s">
        <v>261</v>
      </c>
      <c r="J20" s="2368"/>
      <c r="K20" s="2368"/>
      <c r="L20" s="2367"/>
      <c r="M20" s="2366"/>
      <c r="N20" s="2229" t="s">
        <v>258</v>
      </c>
      <c r="O20" s="2478"/>
    </row>
    <row r="21" spans="1:15" ht="15.75">
      <c r="A21" s="2363"/>
      <c r="B21" s="2362" t="s">
        <v>1428</v>
      </c>
      <c r="C21" s="2361"/>
      <c r="D21" s="2361"/>
      <c r="E21" s="2360" t="s">
        <v>1428</v>
      </c>
      <c r="F21" s="2358"/>
      <c r="G21" s="2358"/>
      <c r="H21" s="2359"/>
      <c r="I21" s="2246" t="s">
        <v>243</v>
      </c>
      <c r="J21" s="2358"/>
      <c r="K21" s="2358"/>
      <c r="L21" s="2357"/>
      <c r="M21" s="2330"/>
      <c r="N21" s="2280" t="s">
        <v>202</v>
      </c>
      <c r="O21" s="2356" t="s">
        <v>163</v>
      </c>
    </row>
    <row r="22" spans="1:15" ht="16.5">
      <c r="A22" s="2355"/>
      <c r="B22" s="2212" t="s">
        <v>1440</v>
      </c>
      <c r="C22" s="2477">
        <v>5208.2168117301198</v>
      </c>
      <c r="D22" s="2255" t="s">
        <v>1430</v>
      </c>
      <c r="E22" s="2476">
        <f>C22*(1-C23)*VLOOKUP($B22,'[3]Standard values'!$C$9:$S$159,14, FALSE)</f>
        <v>76586.828216491413</v>
      </c>
      <c r="F22" s="2278" t="s">
        <v>79</v>
      </c>
      <c r="G22" s="2278"/>
      <c r="H22" s="2278"/>
      <c r="I22" s="2352" t="s">
        <v>1453</v>
      </c>
      <c r="J22" s="2352" t="s">
        <v>1454</v>
      </c>
      <c r="K22" s="2352" t="s">
        <v>245</v>
      </c>
      <c r="L22" s="2277" t="s">
        <v>1456</v>
      </c>
      <c r="M22" s="2194"/>
      <c r="N22" s="2258" t="s">
        <v>1456</v>
      </c>
      <c r="O22" s="2258" t="s">
        <v>162</v>
      </c>
    </row>
    <row r="23" spans="1:15" ht="15.75">
      <c r="A23" s="2214"/>
      <c r="B23" s="2212" t="s">
        <v>1425</v>
      </c>
      <c r="C23" s="2351">
        <v>0.13500000000000001</v>
      </c>
      <c r="D23" s="2255"/>
      <c r="E23" s="2279">
        <v>1</v>
      </c>
      <c r="F23" s="2278" t="s">
        <v>194</v>
      </c>
      <c r="G23" s="2278"/>
      <c r="H23" s="2212"/>
      <c r="I23" s="2257"/>
      <c r="J23" s="2343"/>
      <c r="K23" s="2343"/>
      <c r="L23" s="2342"/>
      <c r="M23" s="2194"/>
      <c r="N23" s="2275"/>
      <c r="O23" s="2275"/>
    </row>
    <row r="24" spans="1:15" ht="15.75">
      <c r="A24" s="2214"/>
      <c r="B24" s="2212" t="s">
        <v>1197</v>
      </c>
      <c r="C24" s="2349">
        <v>2148.3894348386743</v>
      </c>
      <c r="D24" s="2255" t="s">
        <v>1430</v>
      </c>
      <c r="E24" s="2321">
        <f>+C22/E157</f>
        <v>0.12800378600858547</v>
      </c>
      <c r="F24" s="2278" t="s">
        <v>78</v>
      </c>
      <c r="G24" s="2278"/>
      <c r="H24" s="2212"/>
      <c r="I24" s="2343"/>
      <c r="J24" s="2343"/>
      <c r="K24" s="2343"/>
      <c r="L24" s="2342"/>
      <c r="M24" s="2194"/>
      <c r="N24" s="2275"/>
      <c r="O24" s="2275"/>
    </row>
    <row r="25" spans="1:15">
      <c r="A25" s="2214"/>
      <c r="B25" s="2212"/>
      <c r="C25" s="2348"/>
      <c r="D25" s="2255"/>
      <c r="E25" s="2214"/>
      <c r="F25" s="2212"/>
      <c r="G25" s="2212"/>
      <c r="H25" s="2212"/>
      <c r="I25" s="2217"/>
      <c r="J25" s="2217"/>
      <c r="K25" s="2217"/>
      <c r="L25" s="2350"/>
      <c r="M25" s="2194"/>
      <c r="N25" s="2275"/>
      <c r="O25" s="2275"/>
    </row>
    <row r="26" spans="1:15">
      <c r="A26" s="2214"/>
      <c r="B26" s="2265" t="s">
        <v>1429</v>
      </c>
      <c r="C26" s="2348"/>
      <c r="D26" s="2255"/>
      <c r="E26" s="2214"/>
      <c r="F26" s="2212"/>
      <c r="G26" s="2212"/>
      <c r="H26" s="2212"/>
      <c r="I26" s="2217"/>
      <c r="J26" s="2217"/>
      <c r="K26" s="2217"/>
      <c r="L26" s="2350"/>
      <c r="M26" s="2194"/>
      <c r="N26" s="2275"/>
      <c r="O26" s="2275"/>
    </row>
    <row r="27" spans="1:15" ht="14.25">
      <c r="A27" s="2214"/>
      <c r="B27" s="2212" t="s">
        <v>1413</v>
      </c>
      <c r="C27" s="2349">
        <v>3716.5</v>
      </c>
      <c r="D27" s="2255" t="s">
        <v>1431</v>
      </c>
      <c r="E27" s="2266"/>
      <c r="F27" s="2212"/>
      <c r="G27" s="2212"/>
      <c r="H27" s="2212"/>
      <c r="I27" s="2343">
        <f>$C27*VLOOKUP($B27,'[3]Standard values'!$C$9:$S$159,7, FALSE)/$E$157</f>
        <v>8.0050631067823872</v>
      </c>
      <c r="J27" s="2343">
        <f>$C27*VLOOKUP($B27,'[3]Standard values'!$C$9:$S$159,8, FALSE)/$E$157</f>
        <v>0</v>
      </c>
      <c r="K27" s="2343">
        <f>$C27*VLOOKUP($B27,'[3]Standard values'!$C$9:$S$159,9, FALSE)/$E$157</f>
        <v>0</v>
      </c>
      <c r="L27" s="2342">
        <f>I27*'[3]Standard values'!$D$10+J27*'[3]Standard values'!$D$11+K27*'[3]Standard values'!$D$12</f>
        <v>8.0050631067823872</v>
      </c>
      <c r="M27" s="2194"/>
      <c r="N27" s="2285">
        <f>+L27/$E$24</f>
        <v>62.537705769464282</v>
      </c>
      <c r="O27" s="2341">
        <f>L27*$E$157/1000</f>
        <v>325.70993055555556</v>
      </c>
    </row>
    <row r="28" spans="1:15">
      <c r="A28" s="2214"/>
      <c r="B28" s="2212"/>
      <c r="C28" s="2348"/>
      <c r="D28" s="2255"/>
      <c r="E28" s="2266"/>
      <c r="F28" s="2212"/>
      <c r="G28" s="2212"/>
      <c r="H28" s="2212"/>
      <c r="I28" s="2343"/>
      <c r="J28" s="2343"/>
      <c r="K28" s="2343"/>
      <c r="L28" s="2342"/>
      <c r="M28" s="2194"/>
      <c r="N28" s="2285"/>
      <c r="O28" s="2341"/>
    </row>
    <row r="29" spans="1:15">
      <c r="A29" s="2214"/>
      <c r="B29" s="2265" t="s">
        <v>1449</v>
      </c>
      <c r="C29" s="2348"/>
      <c r="D29" s="2255"/>
      <c r="E29" s="2266"/>
      <c r="F29" s="2212"/>
      <c r="G29" s="2212"/>
      <c r="H29" s="2212"/>
      <c r="I29" s="2343"/>
      <c r="J29" s="2343"/>
      <c r="K29" s="2343"/>
      <c r="L29" s="2342"/>
      <c r="M29" s="2194"/>
      <c r="N29" s="2285"/>
      <c r="O29" s="2341"/>
    </row>
    <row r="30" spans="1:15" ht="14.25">
      <c r="A30" s="2214"/>
      <c r="B30" s="2212" t="s">
        <v>980</v>
      </c>
      <c r="C30" s="2347">
        <v>109.30441083988111</v>
      </c>
      <c r="D30" s="2255" t="s">
        <v>1432</v>
      </c>
      <c r="E30" s="2266"/>
      <c r="F30" s="2212"/>
      <c r="G30" s="2212"/>
      <c r="H30" s="2212"/>
      <c r="I30" s="2343">
        <f>$C30*VLOOKUP($B30,'[3]Standard values'!$C$9:$S$159,3, FALSE)/$E$157</f>
        <v>7.5944794094809875</v>
      </c>
      <c r="J30" s="2343">
        <f>$C30*VLOOKUP($B30,'[3]Standard values'!$C$9:$S$159,4, FALSE)/$E$157</f>
        <v>2.3314769599091817E-2</v>
      </c>
      <c r="K30" s="2343">
        <f>$C30*VLOOKUP($B30,'[3]Standard values'!$C$9:$S$159,5, FALSE)/$E$157</f>
        <v>2.5901777379421516E-2</v>
      </c>
      <c r="L30" s="2342">
        <f>I30*'[3]Standard values'!$D$10+J30*'[3]Standard values'!$D$11+K30*'[3]Standard values'!$D$12</f>
        <v>15.896078308525894</v>
      </c>
      <c r="M30" s="2194"/>
      <c r="N30" s="2285">
        <f>+L30/$E$24</f>
        <v>124.18443863418003</v>
      </c>
      <c r="O30" s="2341">
        <f>L30*$E$157/1000</f>
        <v>646.77948104980374</v>
      </c>
    </row>
    <row r="31" spans="1:15" ht="15.75">
      <c r="A31" s="2214"/>
      <c r="B31" s="2212" t="s">
        <v>215</v>
      </c>
      <c r="C31" s="2347">
        <v>16.357714030632511</v>
      </c>
      <c r="D31" s="2255" t="s">
        <v>1433</v>
      </c>
      <c r="E31" s="2266"/>
      <c r="F31" s="2212"/>
      <c r="G31" s="2212"/>
      <c r="H31" s="2212"/>
      <c r="I31" s="2343">
        <f>$C31*VLOOKUP($B31,'[3]Standard values'!$C$9:$S$159,3, FALSE)/$E$157</f>
        <v>0.21561203330840112</v>
      </c>
      <c r="J31" s="2343">
        <f>$C31*VLOOKUP($B31,'[3]Standard values'!$C$9:$S$159,4, FALSE)/$E$157</f>
        <v>6.3154588714152068E-4</v>
      </c>
      <c r="K31" s="2343">
        <f>$C31*VLOOKUP($B31,'[3]Standard values'!$C$9:$S$159,5, FALSE)/$E$157</f>
        <v>4.9449451981925676E-6</v>
      </c>
      <c r="L31" s="2342">
        <f>I31*'[3]Standard values'!$D$10+J31*'[3]Standard values'!$D$11+K31*'[3]Standard values'!$D$12</f>
        <v>0.23287427415600051</v>
      </c>
      <c r="M31" s="2194"/>
      <c r="N31" s="2285">
        <f>+L31/$E$24</f>
        <v>1.8192764559353045</v>
      </c>
      <c r="O31" s="2341">
        <f>L31*$E$157/1000</f>
        <v>9.4751862229870447</v>
      </c>
    </row>
    <row r="32" spans="1:15" ht="15.75">
      <c r="A32" s="2214"/>
      <c r="B32" s="2212" t="s">
        <v>214</v>
      </c>
      <c r="C32" s="2347">
        <v>21.636015155139138</v>
      </c>
      <c r="D32" s="2255" t="s">
        <v>1434</v>
      </c>
      <c r="E32" s="2266"/>
      <c r="F32" s="2212"/>
      <c r="G32" s="2212"/>
      <c r="H32" s="2212"/>
      <c r="I32" s="2343">
        <f>$C32*VLOOKUP($B32,'[3]Standard values'!$C$9:$S$159,3, FALSE)/$E$157</f>
        <v>0.51308257670131951</v>
      </c>
      <c r="J32" s="2343">
        <f>$C32*VLOOKUP($B32,'[3]Standard values'!$C$9:$S$159,4, FALSE)/$E$157</f>
        <v>7.0776501649619532E-4</v>
      </c>
      <c r="K32" s="2343">
        <f>$C32*VLOOKUP($B32,'[3]Standard values'!$C$9:$S$159,5, FALSE)/$E$157</f>
        <v>2.7385348121377956E-5</v>
      </c>
      <c r="L32" s="2342">
        <f>I32*'[3]Standard values'!$D$10+J32*'[3]Standard values'!$D$11+K32*'[3]Standard values'!$D$12</f>
        <v>0.53893753585389503</v>
      </c>
      <c r="M32" s="2194"/>
      <c r="N32" s="2285">
        <f>+L32/$E$24</f>
        <v>4.2103249650580441</v>
      </c>
      <c r="O32" s="2341">
        <f>L32*$E$157/1000</f>
        <v>21.928285265862336</v>
      </c>
    </row>
    <row r="33" spans="1:15" ht="14.25">
      <c r="A33" s="2214"/>
      <c r="B33" s="2212" t="s">
        <v>1410</v>
      </c>
      <c r="C33" s="2347">
        <v>2.335</v>
      </c>
      <c r="D33" s="2255" t="s">
        <v>1430</v>
      </c>
      <c r="E33" s="2266"/>
      <c r="F33" s="2345"/>
      <c r="G33" s="2345"/>
      <c r="H33" s="2345"/>
      <c r="I33" s="2343">
        <f>$C33*VLOOKUP($B33,'[3]Standard values'!$C$9:$S$159,3, FALSE)/$E$157</f>
        <v>0.5673659957944569</v>
      </c>
      <c r="J33" s="2343">
        <f>$C33*VLOOKUP($B33,'[3]Standard values'!$C$9:$S$159,4, FALSE)/$E$157</f>
        <v>1.4649477146967333E-3</v>
      </c>
      <c r="K33" s="2343">
        <f>$C33*VLOOKUP($B33,'[3]Standard values'!$C$9:$S$159,5, FALSE)/$E$157</f>
        <v>9.64920843923159E-5</v>
      </c>
      <c r="L33" s="2342">
        <f>I33*'[3]Standard values'!$D$10+J33*'[3]Standard values'!$D$11+K33*'[3]Standard values'!$D$12</f>
        <v>0.63274432981078532</v>
      </c>
      <c r="M33" s="2194"/>
      <c r="N33" s="2285">
        <f>+L33/$E$24</f>
        <v>4.943168866648568</v>
      </c>
      <c r="O33" s="2341">
        <f>L33*$E$157/1000</f>
        <v>25.745095194499996</v>
      </c>
    </row>
    <row r="34" spans="1:15">
      <c r="A34" s="2214"/>
      <c r="B34" s="2212"/>
      <c r="C34" s="2346"/>
      <c r="D34" s="2255"/>
      <c r="E34" s="2266"/>
      <c r="F34" s="2345"/>
      <c r="G34" s="2345"/>
      <c r="H34" s="2345"/>
      <c r="I34" s="2343"/>
      <c r="J34" s="2343"/>
      <c r="K34" s="2343"/>
      <c r="L34" s="2342"/>
      <c r="M34" s="2194"/>
      <c r="N34" s="2285"/>
      <c r="O34" s="2341"/>
    </row>
    <row r="35" spans="1:15">
      <c r="A35" s="2214"/>
      <c r="B35" s="2265" t="s">
        <v>1415</v>
      </c>
      <c r="C35" s="2346"/>
      <c r="D35" s="2255"/>
      <c r="E35" s="2266"/>
      <c r="F35" s="2212"/>
      <c r="G35" s="2212"/>
      <c r="H35" s="2345"/>
      <c r="I35" s="2343"/>
      <c r="J35" s="2343"/>
      <c r="K35" s="2343"/>
      <c r="L35" s="2342"/>
      <c r="M35" s="2194"/>
      <c r="N35" s="2285"/>
      <c r="O35" s="2341"/>
    </row>
    <row r="36" spans="1:15" ht="14.25">
      <c r="A36" s="2214"/>
      <c r="B36" s="2278" t="s">
        <v>1474</v>
      </c>
      <c r="C36" s="2475">
        <v>120</v>
      </c>
      <c r="D36" s="2255" t="s">
        <v>1430</v>
      </c>
      <c r="E36" s="2266"/>
      <c r="F36" s="2212"/>
      <c r="G36" s="2212"/>
      <c r="H36" s="2212"/>
      <c r="I36" s="2343">
        <f>$C36*VLOOKUP($B36,'[3]Standard values'!$C$9:$S$159,3, FALSE)/$E$157</f>
        <v>0.44550452941118518</v>
      </c>
      <c r="J36" s="2343">
        <f>$C36*VLOOKUP($B36,'[3]Standard values'!$C$9:$S$159,4, FALSE)/$E$157</f>
        <v>8.172436068274115E-4</v>
      </c>
      <c r="K36" s="2343">
        <f>$C36*VLOOKUP($B36,'[3]Standard values'!$C$9:$S$159,5, FALSE)/$E$157</f>
        <v>1.1805940664489816E-3</v>
      </c>
      <c r="L36" s="2342">
        <f>I36*'[3]Standard values'!$D$10+J36*'[3]Standard values'!$D$11+K36*'[3]Standard values'!$D$12</f>
        <v>0.81775265138366704</v>
      </c>
      <c r="M36" s="2194"/>
      <c r="N36" s="2285">
        <f>+L36/$E$24</f>
        <v>6.3885036285475083</v>
      </c>
      <c r="O36" s="2341">
        <f>L36*$E$157/1000</f>
        <v>33.272711999999999</v>
      </c>
    </row>
    <row r="37" spans="1:15">
      <c r="A37" s="2214"/>
      <c r="B37" s="2265"/>
      <c r="C37" s="2267"/>
      <c r="D37" s="2255"/>
      <c r="E37" s="2266"/>
      <c r="F37" s="2212"/>
      <c r="G37" s="2212"/>
      <c r="H37" s="2212"/>
      <c r="I37" s="2343"/>
      <c r="J37" s="2343"/>
      <c r="K37" s="2343"/>
      <c r="L37" s="2342"/>
      <c r="M37" s="2194"/>
      <c r="N37" s="2285"/>
      <c r="O37" s="2341"/>
    </row>
    <row r="38" spans="1:15" ht="15">
      <c r="A38" s="2214"/>
      <c r="B38" s="2265" t="s">
        <v>1450</v>
      </c>
      <c r="C38" s="2344">
        <v>1.8083001106671583</v>
      </c>
      <c r="D38" s="2255" t="s">
        <v>1430</v>
      </c>
      <c r="E38" s="2266"/>
      <c r="F38" s="2212"/>
      <c r="G38" s="2212"/>
      <c r="H38" s="2212"/>
      <c r="I38" s="2343">
        <v>0</v>
      </c>
      <c r="J38" s="2343">
        <v>0</v>
      </c>
      <c r="K38" s="2343">
        <f>1000*$C38/$E$157</f>
        <v>4.4443092285216999E-2</v>
      </c>
      <c r="L38" s="2342">
        <f>I38*'[3]Standard values'!$D$10+J38*'[3]Standard values'!$D$11+K38*'[3]Standard values'!$D$12</f>
        <v>13.244041500994665</v>
      </c>
      <c r="M38" s="2194"/>
      <c r="N38" s="2285">
        <f>+L38/$E$24</f>
        <v>103.46601388888888</v>
      </c>
      <c r="O38" s="2341">
        <f>L38*$E$157/1000</f>
        <v>538.87343297881318</v>
      </c>
    </row>
    <row r="39" spans="1:15">
      <c r="A39" s="2214"/>
      <c r="B39" s="2265"/>
      <c r="C39" s="2338"/>
      <c r="D39" s="2212"/>
      <c r="E39" s="2266"/>
      <c r="F39" s="2245"/>
      <c r="G39" s="2245"/>
      <c r="H39" s="2245" t="s">
        <v>151</v>
      </c>
      <c r="I39" s="2340">
        <f>SUM(I23:I38)</f>
        <v>17.341107651478737</v>
      </c>
      <c r="J39" s="2340">
        <f>SUM(J23:J38)</f>
        <v>2.6936271824253677E-2</v>
      </c>
      <c r="K39" s="2340">
        <f>SUM(K23:K38)</f>
        <v>7.1654286108799384E-2</v>
      </c>
      <c r="L39" s="2240">
        <f>I39*'[3]Standard values'!$D$10+J39*'[3]Standard values'!$D$11+K39*'[3]Standard values'!$D$12</f>
        <v>39.367491707507298</v>
      </c>
      <c r="M39" s="2194"/>
      <c r="N39" s="2274">
        <f>+L39/$E$24</f>
        <v>307.54943220872264</v>
      </c>
      <c r="O39" s="2339">
        <f>L39*$E$157/1000</f>
        <v>1601.7841232675221</v>
      </c>
    </row>
    <row r="40" spans="1:15">
      <c r="A40" s="2214"/>
      <c r="B40" s="2265"/>
      <c r="C40" s="2338"/>
      <c r="D40" s="2212"/>
      <c r="E40" s="2266"/>
      <c r="F40" s="2245"/>
      <c r="G40" s="2245"/>
      <c r="H40" s="2245"/>
      <c r="I40" s="2247"/>
      <c r="J40" s="2247"/>
      <c r="K40" s="2247"/>
      <c r="L40" s="2337"/>
      <c r="M40" s="2194"/>
      <c r="N40" s="2193"/>
      <c r="O40" s="2193"/>
    </row>
    <row r="41" spans="1:15" ht="14.25">
      <c r="A41" s="2239"/>
      <c r="B41" s="2237"/>
      <c r="C41" s="2237"/>
      <c r="D41" s="2237"/>
      <c r="E41" s="2239"/>
      <c r="F41" s="2238"/>
      <c r="G41" s="2238"/>
      <c r="H41" s="2238" t="s">
        <v>241</v>
      </c>
      <c r="I41" s="2335"/>
      <c r="J41" s="2236" t="s">
        <v>1451</v>
      </c>
      <c r="K41" s="2334"/>
      <c r="L41" s="2234">
        <f>L39</f>
        <v>39.367491707507298</v>
      </c>
      <c r="M41" s="2194"/>
      <c r="N41" s="2193"/>
      <c r="O41" s="2193"/>
    </row>
    <row r="42" spans="1:15">
      <c r="A42" s="2194"/>
      <c r="B42" s="2194"/>
      <c r="C42" s="2194"/>
      <c r="D42" s="2194"/>
      <c r="E42" s="2194"/>
      <c r="F42" s="2333"/>
      <c r="G42" s="2333"/>
      <c r="H42" s="2333"/>
      <c r="I42" s="2332"/>
      <c r="J42" s="2331"/>
      <c r="K42" s="2330"/>
      <c r="L42" s="2329"/>
      <c r="M42" s="2194"/>
      <c r="N42" s="2193"/>
      <c r="O42" s="2193"/>
    </row>
    <row r="43" spans="1:15">
      <c r="A43" s="2193"/>
      <c r="B43" s="2193"/>
      <c r="C43" s="2193"/>
      <c r="D43" s="2193"/>
      <c r="E43" s="2193"/>
      <c r="F43" s="2193"/>
      <c r="G43" s="2193"/>
      <c r="H43" s="2193"/>
      <c r="I43" s="2328"/>
      <c r="J43" s="2328"/>
      <c r="K43" s="2328"/>
      <c r="L43" s="2328"/>
      <c r="M43" s="2194"/>
      <c r="N43" s="2193"/>
      <c r="O43" s="2193"/>
    </row>
    <row r="44" spans="1:15" ht="15.75">
      <c r="A44" s="2229" t="s">
        <v>77</v>
      </c>
      <c r="B44" s="2228"/>
      <c r="C44" s="2228"/>
      <c r="D44" s="2228"/>
      <c r="E44" s="2229" t="s">
        <v>239</v>
      </c>
      <c r="F44" s="2227"/>
      <c r="G44" s="2227"/>
      <c r="H44" s="2228"/>
      <c r="I44" s="2227" t="s">
        <v>261</v>
      </c>
      <c r="J44" s="2291"/>
      <c r="K44" s="2291"/>
      <c r="L44" s="2290"/>
      <c r="M44" s="2194"/>
      <c r="N44" s="2282" t="s">
        <v>258</v>
      </c>
      <c r="O44" s="2193"/>
    </row>
    <row r="45" spans="1:15" ht="15.75">
      <c r="A45" s="2473"/>
      <c r="B45" s="2265" t="s">
        <v>1440</v>
      </c>
      <c r="C45" s="2281">
        <v>1</v>
      </c>
      <c r="D45" s="2212" t="s">
        <v>204</v>
      </c>
      <c r="E45" s="2474">
        <f>E22*C45</f>
        <v>76586.828216491413</v>
      </c>
      <c r="F45" s="2212" t="s">
        <v>203</v>
      </c>
      <c r="G45" s="2212"/>
      <c r="H45" s="2212"/>
      <c r="I45" s="2246" t="s">
        <v>243</v>
      </c>
      <c r="J45" s="2245"/>
      <c r="K45" s="2245"/>
      <c r="L45" s="2244"/>
      <c r="M45" s="2194"/>
      <c r="N45" s="2280" t="s">
        <v>202</v>
      </c>
      <c r="O45" s="2193"/>
    </row>
    <row r="46" spans="1:15" ht="15.75">
      <c r="A46" s="2473"/>
      <c r="B46" s="2212"/>
      <c r="C46" s="2338"/>
      <c r="D46" s="2212"/>
      <c r="E46" s="2279">
        <f>E23*C45</f>
        <v>1</v>
      </c>
      <c r="F46" s="2278" t="s">
        <v>194</v>
      </c>
      <c r="G46" s="2278"/>
      <c r="H46" s="2212"/>
      <c r="I46" s="2243" t="s">
        <v>1453</v>
      </c>
      <c r="J46" s="2243" t="s">
        <v>1454</v>
      </c>
      <c r="K46" s="2243" t="s">
        <v>245</v>
      </c>
      <c r="L46" s="2258" t="s">
        <v>1456</v>
      </c>
      <c r="M46" s="2194"/>
      <c r="N46" s="2258" t="s">
        <v>1456</v>
      </c>
      <c r="O46" s="2193"/>
    </row>
    <row r="47" spans="1:15">
      <c r="A47" s="2214"/>
      <c r="B47" s="2265" t="s">
        <v>1429</v>
      </c>
      <c r="C47" s="2212"/>
      <c r="D47" s="2212"/>
      <c r="E47" s="2214"/>
      <c r="F47" s="2212"/>
      <c r="G47" s="2212"/>
      <c r="H47" s="2212"/>
      <c r="I47" s="2212"/>
      <c r="J47" s="2212"/>
      <c r="K47" s="2212"/>
      <c r="L47" s="2275"/>
      <c r="M47" s="2194"/>
      <c r="N47" s="2275"/>
      <c r="O47" s="2193"/>
    </row>
    <row r="48" spans="1:15" ht="15.75">
      <c r="A48" s="2214"/>
      <c r="B48" s="2212" t="s">
        <v>1371</v>
      </c>
      <c r="C48" s="2242">
        <v>4.0000000000000002E-4</v>
      </c>
      <c r="D48" s="2212" t="s">
        <v>206</v>
      </c>
      <c r="E48" s="2214"/>
      <c r="F48" s="2212"/>
      <c r="G48" s="2212"/>
      <c r="H48" s="2212"/>
      <c r="I48" s="2215">
        <f>$C48*$E$46*VLOOKUP($B48,'[3]Standard values'!$C$9:$S$159,7, FALSE)/$E$158</f>
        <v>9.0948385881260807E-2</v>
      </c>
      <c r="J48" s="2215">
        <f>$C48*$E$46*VLOOKUP($B48,'[3]Standard values'!$C$9:$S$159,8, FALSE)/$E$158</f>
        <v>2.2179717349869472E-4</v>
      </c>
      <c r="K48" s="2215">
        <f>$C48*$E$46*VLOOKUP($B48,'[3]Standard values'!$C$9:$S$159,9, FALSE)/$E$158</f>
        <v>4.1201360847942346E-6</v>
      </c>
      <c r="L48" s="2240">
        <f>I48*'[3]Standard values'!$D$10+J48*'[3]Standard values'!$D$11+K48*'[3]Standard values'!$D$12</f>
        <v>9.7721115771996853E-2</v>
      </c>
      <c r="M48" s="2194"/>
      <c r="N48" s="2274">
        <f>+L48/$E$24</f>
        <v>0.76342363627777776</v>
      </c>
      <c r="O48" s="2193"/>
    </row>
    <row r="49" spans="1:15">
      <c r="A49" s="2286"/>
      <c r="B49" s="2212"/>
      <c r="C49" s="2246"/>
      <c r="D49" s="2212"/>
      <c r="E49" s="2214"/>
      <c r="F49" s="2212"/>
      <c r="G49" s="2212"/>
      <c r="H49" s="2212"/>
      <c r="I49" s="2212"/>
      <c r="J49" s="2212"/>
      <c r="K49" s="2212"/>
      <c r="L49" s="2275"/>
      <c r="M49" s="2194"/>
      <c r="N49" s="2193"/>
      <c r="O49" s="2193"/>
    </row>
    <row r="50" spans="1:15" ht="14.25">
      <c r="A50" s="2239"/>
      <c r="B50" s="2237"/>
      <c r="C50" s="2237"/>
      <c r="D50" s="2237"/>
      <c r="E50" s="2239"/>
      <c r="F50" s="2238"/>
      <c r="G50" s="2238"/>
      <c r="H50" s="2238" t="s">
        <v>241</v>
      </c>
      <c r="I50" s="2237"/>
      <c r="J50" s="2236" t="s">
        <v>1451</v>
      </c>
      <c r="K50" s="2235"/>
      <c r="L50" s="2234">
        <f>L48</f>
        <v>9.7721115771996853E-2</v>
      </c>
      <c r="M50" s="2194"/>
      <c r="N50" s="2193"/>
      <c r="O50" s="2193"/>
    </row>
    <row r="51" spans="1:15">
      <c r="A51" s="2193"/>
      <c r="B51" s="2193"/>
      <c r="C51" s="2193"/>
      <c r="D51" s="2193"/>
      <c r="E51" s="2193"/>
      <c r="F51" s="2233"/>
      <c r="G51" s="2233"/>
      <c r="H51" s="2233"/>
      <c r="I51" s="2193"/>
      <c r="J51" s="2232"/>
      <c r="K51" s="2231"/>
      <c r="L51" s="2284"/>
      <c r="M51" s="2194"/>
      <c r="N51" s="2193"/>
      <c r="O51" s="2193"/>
    </row>
    <row r="52" spans="1:15">
      <c r="A52" s="2193"/>
      <c r="B52" s="2193"/>
      <c r="C52" s="2193"/>
      <c r="D52" s="2193"/>
      <c r="E52" s="2193"/>
      <c r="F52" s="2193"/>
      <c r="G52" s="2193"/>
      <c r="H52" s="2193"/>
      <c r="I52" s="2328"/>
      <c r="J52" s="2328"/>
      <c r="K52" s="2328"/>
      <c r="L52" s="2328"/>
      <c r="M52" s="2194"/>
      <c r="N52" s="2193"/>
      <c r="O52" s="2193"/>
    </row>
    <row r="53" spans="1:15" ht="15.75">
      <c r="A53" s="2229" t="s">
        <v>205</v>
      </c>
      <c r="B53" s="2228"/>
      <c r="C53" s="2228"/>
      <c r="D53" s="2228"/>
      <c r="E53" s="2229" t="s">
        <v>239</v>
      </c>
      <c r="F53" s="2227"/>
      <c r="G53" s="2227"/>
      <c r="H53" s="2228"/>
      <c r="I53" s="2227" t="s">
        <v>261</v>
      </c>
      <c r="J53" s="2291"/>
      <c r="K53" s="2291"/>
      <c r="L53" s="2290"/>
      <c r="M53" s="2194"/>
      <c r="N53" s="2282" t="s">
        <v>258</v>
      </c>
      <c r="O53" s="2193"/>
    </row>
    <row r="54" spans="1:15" ht="15.75">
      <c r="A54" s="2214"/>
      <c r="B54" s="2265" t="s">
        <v>1440</v>
      </c>
      <c r="C54" s="2281">
        <v>0.99009900990099009</v>
      </c>
      <c r="D54" s="2212" t="s">
        <v>204</v>
      </c>
      <c r="E54" s="2326">
        <f>E45*C54</f>
        <v>75828.542788605351</v>
      </c>
      <c r="F54" s="2212" t="s">
        <v>203</v>
      </c>
      <c r="G54" s="2212"/>
      <c r="H54" s="2212"/>
      <c r="I54" s="2246" t="s">
        <v>243</v>
      </c>
      <c r="J54" s="2245"/>
      <c r="K54" s="2245"/>
      <c r="L54" s="2244"/>
      <c r="M54" s="2194"/>
      <c r="N54" s="2280" t="s">
        <v>202</v>
      </c>
      <c r="O54" s="2193"/>
    </row>
    <row r="55" spans="1:15" ht="15.75">
      <c r="A55" s="2214"/>
      <c r="B55" s="2212"/>
      <c r="C55" s="2212"/>
      <c r="D55" s="2212"/>
      <c r="E55" s="2279">
        <f>E46*C54</f>
        <v>0.99009900990099009</v>
      </c>
      <c r="F55" s="2278" t="s">
        <v>194</v>
      </c>
      <c r="G55" s="2278"/>
      <c r="H55" s="2212"/>
      <c r="I55" s="2243" t="s">
        <v>1453</v>
      </c>
      <c r="J55" s="2243" t="s">
        <v>1454</v>
      </c>
      <c r="K55" s="2243" t="s">
        <v>245</v>
      </c>
      <c r="L55" s="2258" t="s">
        <v>1456</v>
      </c>
      <c r="M55" s="2194"/>
      <c r="N55" s="2258" t="s">
        <v>1456</v>
      </c>
      <c r="O55" s="2193"/>
    </row>
    <row r="56" spans="1:15">
      <c r="A56" s="2214"/>
      <c r="B56" s="2265" t="s">
        <v>1407</v>
      </c>
      <c r="C56" s="2212"/>
      <c r="D56" s="2212"/>
      <c r="E56" s="2279"/>
      <c r="F56" s="2278"/>
      <c r="G56" s="2278"/>
      <c r="H56" s="2212"/>
      <c r="I56" s="2243"/>
      <c r="J56" s="2243"/>
      <c r="K56" s="2243"/>
      <c r="L56" s="2258"/>
      <c r="M56" s="2194"/>
      <c r="N56" s="2275"/>
      <c r="O56" s="2193"/>
    </row>
    <row r="57" spans="1:15" ht="15.75">
      <c r="A57" s="2214"/>
      <c r="B57" s="2212" t="s">
        <v>1360</v>
      </c>
      <c r="C57" s="2242">
        <v>50</v>
      </c>
      <c r="D57" s="2212" t="s">
        <v>1414</v>
      </c>
      <c r="E57" s="2287">
        <f>(C57*E55)/(VLOOKUP($B54,'[3]Standard values'!$C$9:$S$159,14, FALSE))/(1-$C$23)/1000</f>
        <v>3.3665386259809252E-3</v>
      </c>
      <c r="F57" s="2212" t="s">
        <v>195</v>
      </c>
      <c r="G57" s="2212"/>
      <c r="H57" s="2212"/>
      <c r="I57" s="2215">
        <f>$E57*VLOOKUP($B57,'[3]Standard values'!$C$9:$S$159,15, FALSE)*VLOOKUP(C58,'[3]Standard values'!$C$9:$S$159,7, FALSE)/$E$158</f>
        <v>0.51980943397446866</v>
      </c>
      <c r="J57" s="2215">
        <f>$E57*((VLOOKUP($B57,'[3]Standard values'!$C$9:$S$159,15, FALSE)*VLOOKUP(C58,'[3]Standard values'!$C$9:$S$159,8, FALSE))+VLOOKUP($B57,'[3]Standard values'!$C$9:$S$159,16, FALSE))/$E$158</f>
        <v>3.168410544766967E-5</v>
      </c>
      <c r="K57" s="2215">
        <f>$E57*((VLOOKUP($B57,'[3]Standard values'!$C$9:$S$159,15, FALSE)*VLOOKUP(C58,'[3]Standard values'!$C$9:$S$159,9, FALSE))+VLOOKUP($B57,'[3]Standard values'!$C$9:$S$159,17, FALSE))/$E$158</f>
        <v>0</v>
      </c>
      <c r="L57" s="2240">
        <f>I57*'[3]Standard values'!$D$10+J57*'[3]Standard values'!$D$11+K57*'[3]Standard values'!$D$12</f>
        <v>0.52060153661066044</v>
      </c>
      <c r="M57" s="2194"/>
      <c r="N57" s="2274">
        <f>+L57/$E$24</f>
        <v>4.0670792079207922</v>
      </c>
      <c r="O57" s="2193"/>
    </row>
    <row r="58" spans="1:15">
      <c r="A58" s="2214"/>
      <c r="B58" s="2217" t="s">
        <v>1374</v>
      </c>
      <c r="C58" s="2288" t="s">
        <v>1413</v>
      </c>
      <c r="D58" s="2212"/>
      <c r="E58" s="2287"/>
      <c r="F58" s="2212"/>
      <c r="G58" s="2212"/>
      <c r="H58" s="2212"/>
      <c r="I58" s="2215"/>
      <c r="J58" s="2215"/>
      <c r="K58" s="2215"/>
      <c r="L58" s="2240"/>
      <c r="M58" s="2194"/>
      <c r="N58" s="2193"/>
      <c r="O58" s="2193"/>
    </row>
    <row r="59" spans="1:15">
      <c r="A59" s="2214"/>
      <c r="B59" s="2212"/>
      <c r="C59" s="2212"/>
      <c r="D59" s="2212"/>
      <c r="E59" s="2214"/>
      <c r="F59" s="2212"/>
      <c r="G59" s="2212"/>
      <c r="H59" s="2327"/>
      <c r="I59" s="2215"/>
      <c r="J59" s="2215"/>
      <c r="K59" s="2215"/>
      <c r="L59" s="2240"/>
      <c r="M59" s="2194"/>
      <c r="N59" s="2193"/>
      <c r="O59" s="2193"/>
    </row>
    <row r="60" spans="1:15" ht="14.25">
      <c r="A60" s="2239"/>
      <c r="B60" s="2237"/>
      <c r="C60" s="2237"/>
      <c r="D60" s="2237"/>
      <c r="E60" s="2239"/>
      <c r="F60" s="2238"/>
      <c r="G60" s="2238"/>
      <c r="H60" s="2238" t="s">
        <v>241</v>
      </c>
      <c r="I60" s="2237"/>
      <c r="J60" s="2236" t="s">
        <v>1451</v>
      </c>
      <c r="K60" s="2235"/>
      <c r="L60" s="2234">
        <f>L57</f>
        <v>0.52060153661066044</v>
      </c>
      <c r="M60" s="2194"/>
      <c r="N60" s="2193"/>
      <c r="O60" s="2193"/>
    </row>
    <row r="61" spans="1:15">
      <c r="A61" s="2193"/>
      <c r="B61" s="2193"/>
      <c r="C61" s="2193"/>
      <c r="D61" s="2193"/>
      <c r="E61" s="2193"/>
      <c r="F61" s="2233"/>
      <c r="G61" s="2233"/>
      <c r="H61" s="2233"/>
      <c r="I61" s="2193"/>
      <c r="J61" s="2232"/>
      <c r="K61" s="2231"/>
      <c r="L61" s="2284"/>
      <c r="M61" s="2194"/>
      <c r="N61" s="2194"/>
      <c r="O61" s="2194"/>
    </row>
    <row r="62" spans="1:15">
      <c r="A62" s="2193"/>
      <c r="B62" s="2193"/>
      <c r="C62" s="2193"/>
      <c r="D62" s="2193"/>
      <c r="E62" s="2193"/>
      <c r="F62" s="2193"/>
      <c r="G62" s="2193"/>
      <c r="H62" s="2193"/>
      <c r="I62" s="2193"/>
      <c r="J62" s="2193"/>
      <c r="K62" s="2193"/>
      <c r="L62" s="2295"/>
      <c r="M62" s="2194"/>
      <c r="N62" s="2194"/>
      <c r="O62" s="2194"/>
    </row>
    <row r="63" spans="1:15" ht="15.75">
      <c r="A63" s="2229" t="s">
        <v>1436</v>
      </c>
      <c r="B63" s="2228"/>
      <c r="C63" s="2228"/>
      <c r="D63" s="2228"/>
      <c r="E63" s="2229" t="s">
        <v>239</v>
      </c>
      <c r="F63" s="2227"/>
      <c r="G63" s="2227"/>
      <c r="H63" s="2228"/>
      <c r="I63" s="2227" t="s">
        <v>261</v>
      </c>
      <c r="J63" s="2291"/>
      <c r="K63" s="2291"/>
      <c r="L63" s="2290"/>
      <c r="M63" s="2194"/>
      <c r="N63" s="2282" t="s">
        <v>258</v>
      </c>
      <c r="O63" s="2194"/>
    </row>
    <row r="64" spans="1:15">
      <c r="A64" s="2214"/>
      <c r="B64" s="2265" t="s">
        <v>1428</v>
      </c>
      <c r="C64" s="2212"/>
      <c r="D64" s="2212"/>
      <c r="E64" s="2326"/>
      <c r="F64" s="2212"/>
      <c r="G64" s="2212"/>
      <c r="H64" s="2212"/>
      <c r="I64" s="2246" t="s">
        <v>243</v>
      </c>
      <c r="J64" s="2245"/>
      <c r="K64" s="2245"/>
      <c r="L64" s="2244"/>
      <c r="M64" s="2194"/>
      <c r="N64" s="2280" t="s">
        <v>256</v>
      </c>
      <c r="O64" s="2194"/>
    </row>
    <row r="65" spans="1:15" ht="15.75">
      <c r="A65" s="2214"/>
      <c r="B65" s="2212" t="s">
        <v>1408</v>
      </c>
      <c r="C65" s="2281">
        <v>0.53657882465020257</v>
      </c>
      <c r="D65" s="2212" t="s">
        <v>1406</v>
      </c>
      <c r="E65" s="2326">
        <f>E54*C65</f>
        <v>40687.990364447454</v>
      </c>
      <c r="F65" s="2212" t="s">
        <v>1437</v>
      </c>
      <c r="G65" s="2212"/>
      <c r="H65" s="2212"/>
      <c r="I65" s="2243" t="s">
        <v>1453</v>
      </c>
      <c r="J65" s="2243" t="s">
        <v>1454</v>
      </c>
      <c r="K65" s="2243" t="s">
        <v>245</v>
      </c>
      <c r="L65" s="2258" t="s">
        <v>1456</v>
      </c>
      <c r="M65" s="2194"/>
      <c r="N65" s="2258" t="s">
        <v>1456</v>
      </c>
      <c r="O65" s="2194"/>
    </row>
    <row r="66" spans="1:15" ht="15.75">
      <c r="A66" s="2324"/>
      <c r="B66" s="2278" t="s">
        <v>1198</v>
      </c>
      <c r="C66" s="2344">
        <v>1.1399999999999999</v>
      </c>
      <c r="D66" s="2278" t="s">
        <v>212</v>
      </c>
      <c r="E66" s="2279">
        <f>E55*C65</f>
        <v>0.53126616302000251</v>
      </c>
      <c r="F66" s="2278" t="s">
        <v>194</v>
      </c>
      <c r="G66" s="2278"/>
      <c r="H66" s="2212"/>
      <c r="I66" s="2212"/>
      <c r="J66" s="2212"/>
      <c r="K66" s="2212"/>
      <c r="L66" s="2275"/>
      <c r="M66" s="2194"/>
      <c r="N66" s="2275"/>
      <c r="O66" s="2194"/>
    </row>
    <row r="67" spans="1:15" ht="15.75">
      <c r="A67" s="2324"/>
      <c r="B67" s="2278"/>
      <c r="C67" s="2323"/>
      <c r="D67" s="2278"/>
      <c r="E67" s="2322">
        <f>E65/$E$157/VLOOKUP($B65,'[3]Standard values'!$C$9:$S$159,14, FALSE)</f>
        <v>3.7299515106303617E-2</v>
      </c>
      <c r="F67" s="2212" t="s">
        <v>153</v>
      </c>
      <c r="G67" s="2212"/>
      <c r="H67" s="2212"/>
      <c r="I67" s="2212"/>
      <c r="J67" s="2212"/>
      <c r="K67" s="2212"/>
      <c r="L67" s="2275"/>
      <c r="M67" s="2194"/>
      <c r="N67" s="2285"/>
      <c r="O67" s="2194"/>
    </row>
    <row r="68" spans="1:15">
      <c r="A68" s="2214"/>
      <c r="B68" s="2265" t="s">
        <v>1429</v>
      </c>
      <c r="C68" s="2212"/>
      <c r="D68" s="2212"/>
      <c r="E68" s="2266"/>
      <c r="F68" s="2212"/>
      <c r="G68" s="2212"/>
      <c r="H68" s="2212"/>
      <c r="I68" s="2212"/>
      <c r="J68" s="2212"/>
      <c r="K68" s="2212"/>
      <c r="L68" s="2275"/>
      <c r="M68" s="2194"/>
      <c r="N68" s="2285"/>
      <c r="O68" s="2194"/>
    </row>
    <row r="69" spans="1:15" ht="15.75">
      <c r="A69" s="2214"/>
      <c r="B69" s="2212" t="s">
        <v>814</v>
      </c>
      <c r="C69" s="2281">
        <f>1.4*0.0540842969041402</f>
        <v>7.5718015665796265E-2</v>
      </c>
      <c r="D69" s="2212" t="s">
        <v>254</v>
      </c>
      <c r="E69" s="2214" t="s">
        <v>201</v>
      </c>
      <c r="F69" s="2212"/>
      <c r="G69" s="2212"/>
      <c r="H69" s="2212"/>
      <c r="I69" s="2215"/>
      <c r="J69" s="2215"/>
      <c r="K69" s="2215"/>
      <c r="L69" s="2254"/>
      <c r="M69" s="2194"/>
      <c r="N69" s="2285"/>
      <c r="O69" s="2194"/>
    </row>
    <row r="70" spans="1:15" ht="15.75">
      <c r="A70" s="2214"/>
      <c r="B70" s="2212" t="s">
        <v>887</v>
      </c>
      <c r="C70" s="2281">
        <f>1.4*0.36367027228646</f>
        <v>0.50913838120104393</v>
      </c>
      <c r="D70" s="2212" t="s">
        <v>254</v>
      </c>
      <c r="E70" s="2214"/>
      <c r="F70" s="2212"/>
      <c r="G70" s="2212"/>
      <c r="H70" s="2212"/>
      <c r="I70" s="2215"/>
      <c r="J70" s="2320"/>
      <c r="K70" s="2320"/>
      <c r="L70" s="2254"/>
      <c r="M70" s="2194"/>
      <c r="N70" s="2285"/>
      <c r="O70" s="2194"/>
    </row>
    <row r="71" spans="1:15">
      <c r="A71" s="2214"/>
      <c r="B71" s="2319" t="s">
        <v>937</v>
      </c>
      <c r="C71" s="2315"/>
      <c r="D71" s="2315"/>
      <c r="E71" s="2302"/>
      <c r="F71" s="2300"/>
      <c r="G71" s="2300"/>
      <c r="H71" s="2300"/>
      <c r="I71" s="2318" t="s">
        <v>200</v>
      </c>
      <c r="J71" s="2300"/>
      <c r="K71" s="2300"/>
      <c r="L71" s="2317"/>
      <c r="M71" s="2194"/>
      <c r="N71" s="2285"/>
      <c r="O71" s="2194"/>
    </row>
    <row r="72" spans="1:15" ht="15.75">
      <c r="A72" s="2214"/>
      <c r="B72" s="2316" t="s">
        <v>199</v>
      </c>
      <c r="C72" s="2312"/>
      <c r="D72" s="2315"/>
      <c r="E72" s="2302"/>
      <c r="F72" s="2300"/>
      <c r="G72" s="2300"/>
      <c r="H72" s="2300"/>
      <c r="I72" s="2303">
        <f>$C70*$E$66*VLOOKUP($B72,'[3]Standard values'!$C$9:$S$156,7, FALSE)/$E$158</f>
        <v>0</v>
      </c>
      <c r="J72" s="2303">
        <f>$C70*$E$66*VLOOKUP($B72,'[3]Standard values'!$C$9:$S$156,8, FALSE)/$E$158</f>
        <v>1.1738468233246291E-3</v>
      </c>
      <c r="K72" s="2303">
        <f>$C70*$E$66*VLOOKUP($B72,'[3]Standard values'!$C$9:$S$156,9, FALSE)/$E$158</f>
        <v>6.4208006962576097E-3</v>
      </c>
      <c r="L72" s="2311">
        <f>I72*'[3]Standard values'!$D$10+J72*'[3]Standard values'!$D$11+K72*'[3]Standard values'!$D$12</f>
        <v>1.9427447780678835</v>
      </c>
      <c r="M72" s="2194"/>
      <c r="N72" s="2285">
        <f>+L72/$E$67</f>
        <v>52.084987499999954</v>
      </c>
      <c r="O72" s="2194"/>
    </row>
    <row r="73" spans="1:15" ht="14.25">
      <c r="A73" s="2214"/>
      <c r="B73" s="2313" t="s">
        <v>811</v>
      </c>
      <c r="C73" s="2281">
        <v>1.4049</v>
      </c>
      <c r="D73" s="2300" t="s">
        <v>885</v>
      </c>
      <c r="E73" s="2302"/>
      <c r="F73" s="2300"/>
      <c r="G73" s="2300"/>
      <c r="H73" s="2300"/>
      <c r="I73" s="2303"/>
      <c r="J73" s="2314"/>
      <c r="K73" s="2314"/>
      <c r="L73" s="2311"/>
      <c r="M73" s="2194"/>
      <c r="N73" s="2285"/>
      <c r="O73" s="2194"/>
    </row>
    <row r="74" spans="1:15" ht="15.75">
      <c r="A74" s="2214"/>
      <c r="B74" s="2313" t="s">
        <v>1442</v>
      </c>
      <c r="C74" s="2312">
        <f>C73*C70</f>
        <v>0.7152885117493466</v>
      </c>
      <c r="D74" s="2300" t="s">
        <v>254</v>
      </c>
      <c r="E74" s="2302"/>
      <c r="F74" s="2300"/>
      <c r="G74" s="2300"/>
      <c r="H74" s="2300"/>
      <c r="I74" s="2303">
        <f>$C74*$E$66*VLOOKUP($B74,'[3]Standard values'!$C$9:$S$159,7, FALSE)/$E$158</f>
        <v>83.515020242819773</v>
      </c>
      <c r="J74" s="2303">
        <f>$C74*$E$66*VLOOKUP($B74,'[3]Standard values'!$C$9:$S$159,8, FALSE)/$E$158</f>
        <v>6.4773348563968601E-3</v>
      </c>
      <c r="K74" s="2303">
        <f>$C74*$E$66*VLOOKUP($B74,'[3]Standard values'!$C$9:$S$159,9, FALSE)/$E$158</f>
        <v>3.973825065274148E-5</v>
      </c>
      <c r="L74" s="2311">
        <f>I74*'[3]Standard values'!$D$10+J74*'[3]Standard values'!$D$11+K74*'[3]Standard values'!$D$12</f>
        <v>83.68879561292421</v>
      </c>
      <c r="M74" s="2194"/>
      <c r="N74" s="2285">
        <f>+L74/$E$67</f>
        <v>2243.696610382498</v>
      </c>
      <c r="O74" s="2194"/>
    </row>
    <row r="75" spans="1:15" ht="14.25">
      <c r="A75" s="2214"/>
      <c r="B75" s="2313" t="s">
        <v>812</v>
      </c>
      <c r="C75" s="2281">
        <v>-0.22220000000000001</v>
      </c>
      <c r="D75" s="2300" t="s">
        <v>885</v>
      </c>
      <c r="E75" s="2302"/>
      <c r="F75" s="2300"/>
      <c r="G75" s="2300"/>
      <c r="H75" s="2300"/>
      <c r="I75" s="2303"/>
      <c r="J75" s="2314"/>
      <c r="K75" s="2314"/>
      <c r="L75" s="2311"/>
      <c r="M75" s="2194"/>
      <c r="N75" s="2285"/>
      <c r="O75" s="2194"/>
    </row>
    <row r="76" spans="1:15" ht="15.75">
      <c r="A76" s="2214"/>
      <c r="B76" s="2313" t="s">
        <v>813</v>
      </c>
      <c r="C76" s="2312">
        <f>C75*C70</f>
        <v>-0.11313054830287196</v>
      </c>
      <c r="D76" s="2300" t="s">
        <v>254</v>
      </c>
      <c r="E76" s="2302" t="s">
        <v>198</v>
      </c>
      <c r="F76" s="2300"/>
      <c r="G76" s="2300"/>
      <c r="H76" s="2300"/>
      <c r="I76" s="2303"/>
      <c r="J76" s="2314"/>
      <c r="K76" s="2314"/>
      <c r="L76" s="2311"/>
      <c r="M76" s="2194"/>
      <c r="N76" s="2285"/>
      <c r="O76" s="2194"/>
    </row>
    <row r="77" spans="1:15" ht="15.75">
      <c r="A77" s="2214"/>
      <c r="B77" s="2313" t="str">
        <f>IF(C77&gt;0, "Electricity EU mix MV", "Electricity (Lignite ST)")</f>
        <v>Electricity (Lignite ST)</v>
      </c>
      <c r="C77" s="2312">
        <f>C76+C69</f>
        <v>-3.7412532637075696E-2</v>
      </c>
      <c r="D77" s="2300" t="s">
        <v>254</v>
      </c>
      <c r="E77" s="2302" t="str">
        <f>IF(C77&gt;0, "Electricity use in ethanol plant larger than generation", "Surplus electricity. Credit is calculated following")</f>
        <v>Surplus electricity. Credit is calculated following</v>
      </c>
      <c r="F77" s="2300"/>
      <c r="G77" s="2300"/>
      <c r="H77" s="2300"/>
      <c r="I77" s="2303">
        <f>$C77*$E$66*VLOOKUP($B77,'[3]Standard values'!$C$9:$S$159,7, FALSE)/$E$158</f>
        <v>-10.653989142104432</v>
      </c>
      <c r="J77" s="2303">
        <f>$C77*$E$66*VLOOKUP($B77,'[3]Standard values'!$C$9:$S$159,8, FALSE)/$E$158</f>
        <v>-9.6737793487090156E-4</v>
      </c>
      <c r="K77" s="2303">
        <f>$C77*$E$66*VLOOKUP($B77,'[3]Standard values'!$C$9:$S$159,9, FALSE)/$E$158</f>
        <v>-2.9100507122135173E-4</v>
      </c>
      <c r="L77" s="2311">
        <f>I77*'[3]Standard values'!$D$10+J77*'[3]Standard values'!$D$11+K77*'[3]Standard values'!$D$12</f>
        <v>-10.764893101700167</v>
      </c>
      <c r="M77" s="2194"/>
      <c r="N77" s="2285">
        <f>+L77/$E$67</f>
        <v>-288.60678405658149</v>
      </c>
      <c r="O77" s="2194"/>
    </row>
    <row r="78" spans="1:15">
      <c r="A78" s="2214"/>
      <c r="B78" s="2313"/>
      <c r="C78" s="2312"/>
      <c r="D78" s="2300"/>
      <c r="E78" s="2302" t="str">
        <f>IF(C77&gt;0, "   in Lignite CHP. Therefore calculated as EU Mix MV", "   RED Annex V.C.16")</f>
        <v xml:space="preserve">   RED Annex V.C.16</v>
      </c>
      <c r="F78" s="2300"/>
      <c r="G78" s="2300"/>
      <c r="H78" s="2300"/>
      <c r="I78" s="2303"/>
      <c r="J78" s="2303"/>
      <c r="K78" s="2303"/>
      <c r="L78" s="2311"/>
      <c r="M78" s="2194"/>
      <c r="N78" s="2285"/>
      <c r="O78" s="2194"/>
    </row>
    <row r="79" spans="1:15">
      <c r="A79" s="2214"/>
      <c r="B79" s="2265"/>
      <c r="C79" s="2212"/>
      <c r="D79" s="2212"/>
      <c r="E79" s="2214"/>
      <c r="F79" s="2212"/>
      <c r="G79" s="2212"/>
      <c r="H79" s="2245" t="s">
        <v>151</v>
      </c>
      <c r="I79" s="2308">
        <f>SUM(I68:I77)</f>
        <v>72.861031100715337</v>
      </c>
      <c r="J79" s="2308">
        <f>SUM(J68:J77)</f>
        <v>6.6838037448505878E-3</v>
      </c>
      <c r="K79" s="2308">
        <f>SUM(K68:K77)</f>
        <v>6.1695338756890001E-3</v>
      </c>
      <c r="L79" s="2240">
        <f>I79*'[3]Standard values'!$D$10+J79*'[3]Standard values'!$D$11+K79*'[3]Standard values'!$D$12</f>
        <v>74.866647289291933</v>
      </c>
      <c r="M79" s="2194"/>
      <c r="N79" s="2274">
        <f>+L79/$E$67</f>
        <v>2007.1748138259168</v>
      </c>
      <c r="O79" s="2194"/>
    </row>
    <row r="80" spans="1:15">
      <c r="A80" s="2214"/>
      <c r="B80" s="2307"/>
      <c r="C80" s="2278"/>
      <c r="D80" s="2278"/>
      <c r="E80" s="2214"/>
      <c r="F80" s="2212"/>
      <c r="G80" s="2212"/>
      <c r="H80" s="2212"/>
      <c r="I80" s="2212"/>
      <c r="J80" s="2212"/>
      <c r="K80" s="2212"/>
      <c r="L80" s="2275"/>
      <c r="M80" s="2194"/>
      <c r="N80" s="2193"/>
      <c r="O80" s="2194"/>
    </row>
    <row r="81" spans="1:15" ht="14.25">
      <c r="A81" s="2239"/>
      <c r="B81" s="2237"/>
      <c r="C81" s="2237"/>
      <c r="D81" s="2237"/>
      <c r="E81" s="2239"/>
      <c r="F81" s="2238"/>
      <c r="G81" s="2238"/>
      <c r="H81" s="2238" t="s">
        <v>241</v>
      </c>
      <c r="I81" s="2237"/>
      <c r="J81" s="2236" t="s">
        <v>1451</v>
      </c>
      <c r="K81" s="2235"/>
      <c r="L81" s="2234">
        <f>L79</f>
        <v>74.866647289291933</v>
      </c>
      <c r="M81" s="2194"/>
      <c r="N81" s="2193"/>
      <c r="O81" s="2194"/>
    </row>
    <row r="82" spans="1:15">
      <c r="A82" s="2193"/>
      <c r="B82" s="2193"/>
      <c r="C82" s="2193"/>
      <c r="D82" s="2193"/>
      <c r="E82" s="2193"/>
      <c r="F82" s="2233"/>
      <c r="G82" s="2233"/>
      <c r="H82" s="2233"/>
      <c r="I82" s="2193"/>
      <c r="J82" s="2232"/>
      <c r="K82" s="2231"/>
      <c r="L82" s="2294"/>
      <c r="M82" s="2194"/>
      <c r="N82" s="2193"/>
      <c r="O82" s="2193"/>
    </row>
    <row r="83" spans="1:15">
      <c r="A83" s="2193"/>
      <c r="B83" s="2193"/>
      <c r="C83" s="2193"/>
      <c r="D83" s="2193"/>
      <c r="E83" s="2193"/>
      <c r="F83" s="2233"/>
      <c r="G83" s="2233"/>
      <c r="H83" s="2233"/>
      <c r="I83" s="2193"/>
      <c r="J83" s="2232"/>
      <c r="K83" s="2231"/>
      <c r="L83" s="2294"/>
      <c r="M83" s="2194"/>
      <c r="N83" s="2193"/>
      <c r="O83" s="2193"/>
    </row>
    <row r="84" spans="1:15" ht="15.75">
      <c r="A84" s="2229" t="s">
        <v>150</v>
      </c>
      <c r="B84" s="2228"/>
      <c r="C84" s="2228"/>
      <c r="D84" s="2228"/>
      <c r="E84" s="2225" t="s">
        <v>149</v>
      </c>
      <c r="F84" s="2226"/>
      <c r="G84" s="2226"/>
      <c r="H84" s="2226"/>
      <c r="I84" s="2224"/>
      <c r="J84" s="2225" t="s">
        <v>1451</v>
      </c>
      <c r="K84" s="2224"/>
      <c r="L84" s="2223">
        <f>L41+L50+L60+L81</f>
        <v>114.85246164918189</v>
      </c>
      <c r="M84" s="2194"/>
      <c r="N84" s="2282" t="s">
        <v>258</v>
      </c>
      <c r="O84" s="2193"/>
    </row>
    <row r="85" spans="1:15" ht="15.75">
      <c r="A85" s="2222" t="s">
        <v>148</v>
      </c>
      <c r="B85" s="2221"/>
      <c r="C85" s="2221"/>
      <c r="D85" s="2221"/>
      <c r="E85" s="2220"/>
      <c r="F85" s="2220"/>
      <c r="G85" s="2220"/>
      <c r="H85" s="2220"/>
      <c r="I85" s="2220"/>
      <c r="J85" s="2220"/>
      <c r="K85" s="2220"/>
      <c r="L85" s="2219"/>
      <c r="M85" s="2194"/>
      <c r="N85" s="2280" t="s">
        <v>256</v>
      </c>
      <c r="O85" s="2193"/>
    </row>
    <row r="86" spans="1:15" ht="15.75">
      <c r="A86" s="2302"/>
      <c r="B86" s="2300"/>
      <c r="C86" s="2300"/>
      <c r="D86" s="2304"/>
      <c r="E86" s="2304"/>
      <c r="F86" s="2304"/>
      <c r="G86" s="2304"/>
      <c r="H86" s="2304" t="s">
        <v>147</v>
      </c>
      <c r="I86" s="2305">
        <f>L84</f>
        <v>114.85246164918189</v>
      </c>
      <c r="J86" s="2300" t="s">
        <v>267</v>
      </c>
      <c r="K86" s="2300"/>
      <c r="L86" s="2299"/>
      <c r="M86" s="2194"/>
      <c r="N86" s="2258" t="s">
        <v>1456</v>
      </c>
      <c r="O86" s="2193"/>
    </row>
    <row r="87" spans="1:15" ht="15.75">
      <c r="A87" s="2302"/>
      <c r="B87" s="2300" t="s">
        <v>146</v>
      </c>
      <c r="C87" s="2300" t="s">
        <v>1408</v>
      </c>
      <c r="D87" s="2300"/>
      <c r="E87" s="2304" t="s">
        <v>197</v>
      </c>
      <c r="F87" s="2472">
        <f>1*1000*VLOOKUP($C87,'[3]Standard values'!$C$9:$S$159,14, FALSE)</f>
        <v>26810</v>
      </c>
      <c r="G87" s="2472"/>
      <c r="H87" s="2300" t="s">
        <v>265</v>
      </c>
      <c r="I87" s="2303">
        <f>$I$86*F87/F$89</f>
        <v>68.350599263364415</v>
      </c>
      <c r="J87" s="2300" t="s">
        <v>267</v>
      </c>
      <c r="K87" s="2300"/>
      <c r="L87" s="2299"/>
      <c r="M87" s="2194"/>
      <c r="N87" s="2275"/>
      <c r="O87" s="2193"/>
    </row>
    <row r="88" spans="1:15" ht="15.75">
      <c r="A88" s="2302"/>
      <c r="B88" s="2300" t="s">
        <v>144</v>
      </c>
      <c r="C88" s="2300" t="s">
        <v>943</v>
      </c>
      <c r="D88" s="2300"/>
      <c r="E88" s="2304" t="s">
        <v>196</v>
      </c>
      <c r="F88" s="2472">
        <f>C66*1000*VLOOKUP($C88,'[3]Standard values'!$C$9:$S$159,14, FALSE)</f>
        <v>18240</v>
      </c>
      <c r="G88" s="2472"/>
      <c r="H88" s="2300" t="s">
        <v>265</v>
      </c>
      <c r="I88" s="2303">
        <f>$I$86*F88/F$89</f>
        <v>46.501862385817482</v>
      </c>
      <c r="J88" s="2300" t="s">
        <v>267</v>
      </c>
      <c r="K88" s="2300"/>
      <c r="L88" s="2299"/>
      <c r="M88" s="2194"/>
      <c r="N88" s="2285"/>
      <c r="O88" s="2193"/>
    </row>
    <row r="89" spans="1:15">
      <c r="A89" s="2302"/>
      <c r="B89" s="2300"/>
      <c r="C89" s="2300"/>
      <c r="D89" s="2300"/>
      <c r="E89" s="2300" t="s">
        <v>266</v>
      </c>
      <c r="F89" s="2472">
        <f>SUM(F87:F88)</f>
        <v>45050</v>
      </c>
      <c r="G89" s="2472"/>
      <c r="H89" s="2300" t="s">
        <v>265</v>
      </c>
      <c r="I89" s="2300"/>
      <c r="J89" s="2300"/>
      <c r="K89" s="2300"/>
      <c r="L89" s="2299"/>
      <c r="M89" s="2194"/>
      <c r="N89" s="2285"/>
      <c r="O89" s="2193"/>
    </row>
    <row r="90" spans="1:15" ht="14.25">
      <c r="A90" s="2239"/>
      <c r="B90" s="2237"/>
      <c r="C90" s="2237"/>
      <c r="D90" s="2237"/>
      <c r="E90" s="2236" t="s">
        <v>264</v>
      </c>
      <c r="F90" s="2238"/>
      <c r="G90" s="2238"/>
      <c r="H90" s="2196"/>
      <c r="I90" s="2237"/>
      <c r="J90" s="2236" t="s">
        <v>1451</v>
      </c>
      <c r="K90" s="2196"/>
      <c r="L90" s="2234">
        <f>I87</f>
        <v>68.350599263364415</v>
      </c>
      <c r="M90" s="2194"/>
      <c r="N90" s="2274">
        <f>+L90/$E$67</f>
        <v>1832.4795662508</v>
      </c>
      <c r="O90" s="2194"/>
    </row>
    <row r="91" spans="1:15">
      <c r="A91" s="2193"/>
      <c r="B91" s="2193"/>
      <c r="C91" s="2193"/>
      <c r="D91" s="2194"/>
      <c r="E91" s="2194"/>
      <c r="F91" s="2231"/>
      <c r="G91" s="2231"/>
      <c r="H91" s="2298"/>
      <c r="I91" s="2297"/>
      <c r="J91" s="2194"/>
      <c r="K91" s="2194"/>
      <c r="L91" s="2296"/>
      <c r="M91" s="2194"/>
      <c r="N91" s="2194"/>
      <c r="O91" s="2194"/>
    </row>
    <row r="92" spans="1:15">
      <c r="A92" s="2295"/>
      <c r="B92" s="2294"/>
      <c r="C92" s="2293"/>
      <c r="D92" s="2193"/>
      <c r="E92" s="2194"/>
      <c r="F92" s="2194"/>
      <c r="G92" s="2194"/>
      <c r="H92" s="2194"/>
      <c r="I92" s="2194"/>
      <c r="J92" s="2292"/>
      <c r="K92" s="2194"/>
      <c r="L92" s="2194"/>
      <c r="M92" s="2194"/>
      <c r="N92" s="2194"/>
      <c r="O92" s="2194"/>
    </row>
    <row r="93" spans="1:15" ht="15.75">
      <c r="A93" s="2229" t="s">
        <v>263</v>
      </c>
      <c r="B93" s="2227" t="s">
        <v>262</v>
      </c>
      <c r="C93" s="2228"/>
      <c r="D93" s="2228"/>
      <c r="E93" s="2229" t="s">
        <v>239</v>
      </c>
      <c r="F93" s="2227"/>
      <c r="G93" s="2227"/>
      <c r="H93" s="2228"/>
      <c r="I93" s="2227" t="s">
        <v>261</v>
      </c>
      <c r="J93" s="2291"/>
      <c r="K93" s="2291"/>
      <c r="L93" s="2290"/>
      <c r="M93" s="2194"/>
      <c r="N93" s="2282" t="s">
        <v>258</v>
      </c>
      <c r="O93" s="2194"/>
    </row>
    <row r="94" spans="1:15" ht="15.75">
      <c r="A94" s="2214"/>
      <c r="B94" s="2265" t="s">
        <v>1408</v>
      </c>
      <c r="C94" s="2281">
        <v>1</v>
      </c>
      <c r="D94" s="2212" t="s">
        <v>257</v>
      </c>
      <c r="E94" s="2266">
        <f>E65*C94</f>
        <v>40687.990364447454</v>
      </c>
      <c r="F94" s="2212" t="s">
        <v>1437</v>
      </c>
      <c r="G94" s="2212"/>
      <c r="H94" s="2289"/>
      <c r="I94" s="2246" t="s">
        <v>243</v>
      </c>
      <c r="J94" s="2245"/>
      <c r="K94" s="2245"/>
      <c r="L94" s="2244"/>
      <c r="M94" s="2194"/>
      <c r="N94" s="2280" t="s">
        <v>256</v>
      </c>
      <c r="O94" s="2194"/>
    </row>
    <row r="95" spans="1:15" ht="15.75">
      <c r="A95" s="2214"/>
      <c r="B95" s="2212"/>
      <c r="C95" s="2212"/>
      <c r="D95" s="2212"/>
      <c r="E95" s="2279">
        <f>E66*C94</f>
        <v>0.53126616302000251</v>
      </c>
      <c r="F95" s="2278" t="s">
        <v>194</v>
      </c>
      <c r="G95" s="2278"/>
      <c r="H95" s="2289"/>
      <c r="I95" s="2243" t="s">
        <v>1453</v>
      </c>
      <c r="J95" s="2243" t="s">
        <v>1454</v>
      </c>
      <c r="K95" s="2243" t="s">
        <v>245</v>
      </c>
      <c r="L95" s="2258" t="s">
        <v>1456</v>
      </c>
      <c r="M95" s="2194"/>
      <c r="N95" s="2258" t="s">
        <v>1456</v>
      </c>
      <c r="O95" s="2194"/>
    </row>
    <row r="96" spans="1:15">
      <c r="A96" s="2214"/>
      <c r="B96" s="2265" t="s">
        <v>1407</v>
      </c>
      <c r="C96" s="2212"/>
      <c r="D96" s="2212"/>
      <c r="E96" s="2266"/>
      <c r="F96" s="2212"/>
      <c r="G96" s="2212"/>
      <c r="H96" s="2212"/>
      <c r="I96" s="2212"/>
      <c r="J96" s="2212"/>
      <c r="K96" s="2212"/>
      <c r="L96" s="2275"/>
      <c r="M96" s="2194"/>
      <c r="N96" s="2275"/>
      <c r="O96" s="2194"/>
    </row>
    <row r="97" spans="1:15" ht="15.75">
      <c r="A97" s="2214"/>
      <c r="B97" s="2212" t="s">
        <v>1184</v>
      </c>
      <c r="C97" s="2242">
        <f>2*150</f>
        <v>300</v>
      </c>
      <c r="D97" s="2212" t="s">
        <v>1414</v>
      </c>
      <c r="E97" s="2287">
        <f>(C97*E95/VLOOKUP($B94,'[3]Standard values'!$C$9:$S$159,14, FALSE))/1000</f>
        <v>5.9447910819097633E-3</v>
      </c>
      <c r="F97" s="2212" t="s">
        <v>195</v>
      </c>
      <c r="G97" s="2212"/>
      <c r="H97" s="2212"/>
      <c r="I97" s="2215">
        <f>$E97*VLOOKUP($B97,'[3]Standard values'!$C$9:$S$159,15, FALSE)*VLOOKUP(C98,'[3]Standard values'!$C$9:$S$159,7, FALSE)/$E$158</f>
        <v>0.98851174934725838</v>
      </c>
      <c r="J97" s="2215">
        <f>$E97*((VLOOKUP($B97,'[3]Standard values'!$C$9:$S$159,15, FALSE)*VLOOKUP(C98,'[3]Standard values'!$C$9:$S$159,8, FALSE))+VLOOKUP($B97,'[3]Standard values'!$C$9:$S$159,16, FALSE))/$E$158</f>
        <v>5.5949272659455427E-5</v>
      </c>
      <c r="K97" s="2215">
        <f>$E97*((VLOOKUP($B97,'[3]Standard values'!$C$9:$S$159,15, FALSE)*VLOOKUP(C98,'[3]Standard values'!$C$9:$S$159,9, FALSE))+VLOOKUP($B97,'[3]Standard values'!$C$9:$S$159,17, FALSE))/$E$158</f>
        <v>0</v>
      </c>
      <c r="L97" s="2240">
        <f>I97*'[3]Standard values'!$D$10+J97*'[3]Standard values'!$D$11+K97*'[3]Standard values'!$D$12</f>
        <v>0.9899104811637448</v>
      </c>
      <c r="M97" s="2194"/>
      <c r="N97" s="2285">
        <f>+L97/$E$67</f>
        <v>26.5395</v>
      </c>
      <c r="O97" s="2194"/>
    </row>
    <row r="98" spans="1:15">
      <c r="A98" s="2214"/>
      <c r="B98" s="2217" t="s">
        <v>1374</v>
      </c>
      <c r="C98" s="2288" t="s">
        <v>1413</v>
      </c>
      <c r="D98" s="2212"/>
      <c r="E98" s="2214"/>
      <c r="F98" s="2212"/>
      <c r="G98" s="2212"/>
      <c r="H98" s="2212"/>
      <c r="I98" s="2215"/>
      <c r="J98" s="2215"/>
      <c r="K98" s="2215"/>
      <c r="L98" s="2240"/>
      <c r="M98" s="2194"/>
      <c r="N98" s="2285"/>
      <c r="O98" s="2194"/>
    </row>
    <row r="99" spans="1:15">
      <c r="A99" s="2214"/>
      <c r="B99" s="2212"/>
      <c r="C99" s="2267"/>
      <c r="D99" s="2212"/>
      <c r="E99" s="2287"/>
      <c r="F99" s="2212"/>
      <c r="G99" s="2212"/>
      <c r="H99" s="2212"/>
      <c r="I99" s="2215"/>
      <c r="J99" s="2215"/>
      <c r="K99" s="2215"/>
      <c r="L99" s="2240"/>
      <c r="M99" s="2194"/>
      <c r="N99" s="2471"/>
      <c r="O99" s="2194"/>
    </row>
    <row r="100" spans="1:15">
      <c r="A100" s="2214"/>
      <c r="B100" s="2265" t="s">
        <v>1457</v>
      </c>
      <c r="C100" s="2212"/>
      <c r="D100" s="2212"/>
      <c r="E100" s="2214"/>
      <c r="F100" s="2212"/>
      <c r="G100" s="2212"/>
      <c r="H100" s="2212"/>
      <c r="I100" s="2215"/>
      <c r="J100" s="2215"/>
      <c r="K100" s="2215"/>
      <c r="L100" s="2276"/>
      <c r="M100" s="2194"/>
      <c r="N100" s="2471"/>
      <c r="O100" s="2194"/>
    </row>
    <row r="101" spans="1:15" ht="15.75">
      <c r="A101" s="2286"/>
      <c r="B101" s="2212" t="s">
        <v>1371</v>
      </c>
      <c r="C101" s="2242">
        <v>8.4000000000000003E-4</v>
      </c>
      <c r="D101" s="2212" t="s">
        <v>254</v>
      </c>
      <c r="E101" s="2214"/>
      <c r="F101" s="2212"/>
      <c r="G101" s="2212"/>
      <c r="H101" s="2212"/>
      <c r="I101" s="2215">
        <f>$C101*$E$95*VLOOKUP($B101,'[3]Standard values'!$C$9:$S$159,7, FALSE)/$E$158</f>
        <v>0.10146738000000001</v>
      </c>
      <c r="J101" s="2215">
        <f>$C101*$E$95*VLOOKUP($B101,'[3]Standard values'!$C$9:$S$159,8, FALSE)/$E$158</f>
        <v>2.4744999999999997E-4</v>
      </c>
      <c r="K101" s="2215">
        <f>$C101*$E$95*VLOOKUP($B101,'[3]Standard values'!$C$9:$S$159,9, FALSE)/$E$158</f>
        <v>4.5966666666666661E-6</v>
      </c>
      <c r="L101" s="2240">
        <f>I101*'[3]Standard values'!$D$10+J101*'[3]Standard values'!$D$11+K101*'[3]Standard values'!$D$12</f>
        <v>0.10902343666666668</v>
      </c>
      <c r="M101" s="2194"/>
      <c r="N101" s="2285">
        <f>+L101/$E$67</f>
        <v>2.9229183370333338</v>
      </c>
      <c r="O101" s="2194"/>
    </row>
    <row r="102" spans="1:15" ht="14.25">
      <c r="A102" s="2239"/>
      <c r="B102" s="2237"/>
      <c r="C102" s="2237"/>
      <c r="D102" s="2237"/>
      <c r="E102" s="2239"/>
      <c r="F102" s="2238"/>
      <c r="G102" s="2238"/>
      <c r="H102" s="2238" t="s">
        <v>241</v>
      </c>
      <c r="I102" s="2237"/>
      <c r="J102" s="2236" t="s">
        <v>1451</v>
      </c>
      <c r="K102" s="2235"/>
      <c r="L102" s="2234">
        <f>L101+L97</f>
        <v>1.0989339178304114</v>
      </c>
      <c r="M102" s="2194"/>
      <c r="N102" s="2274">
        <f>+L102/$E$67</f>
        <v>29.462418337033331</v>
      </c>
      <c r="O102" s="2194"/>
    </row>
    <row r="103" spans="1:15">
      <c r="A103" s="2193"/>
      <c r="B103" s="2193"/>
      <c r="C103" s="2193"/>
      <c r="D103" s="2193"/>
      <c r="E103" s="2193"/>
      <c r="F103" s="2233"/>
      <c r="G103" s="2233"/>
      <c r="H103" s="2233"/>
      <c r="I103" s="2193"/>
      <c r="J103" s="2232"/>
      <c r="K103" s="2231"/>
      <c r="L103" s="2284"/>
      <c r="M103" s="2194"/>
      <c r="N103" s="2193"/>
      <c r="O103" s="2194"/>
    </row>
    <row r="104" spans="1:15">
      <c r="A104" s="2193"/>
      <c r="B104" s="2193"/>
      <c r="C104" s="2193"/>
      <c r="D104" s="2193"/>
      <c r="E104" s="2193"/>
      <c r="F104" s="2233"/>
      <c r="G104" s="2233"/>
      <c r="H104" s="2233"/>
      <c r="I104" s="2193"/>
      <c r="J104" s="2232"/>
      <c r="K104" s="2231"/>
      <c r="L104" s="2284"/>
      <c r="M104" s="2194"/>
      <c r="N104" s="2194"/>
      <c r="O104" s="2194"/>
    </row>
    <row r="105" spans="1:15" ht="15.75">
      <c r="A105" s="2229" t="s">
        <v>259</v>
      </c>
      <c r="B105" s="2228"/>
      <c r="C105" s="2228"/>
      <c r="D105" s="2228"/>
      <c r="E105" s="2229" t="s">
        <v>239</v>
      </c>
      <c r="F105" s="2228"/>
      <c r="G105" s="2228"/>
      <c r="H105" s="2228"/>
      <c r="I105" s="2228"/>
      <c r="J105" s="2228"/>
      <c r="K105" s="2228"/>
      <c r="L105" s="2283"/>
      <c r="M105" s="2194"/>
      <c r="N105" s="2282" t="s">
        <v>258</v>
      </c>
      <c r="O105" s="2194"/>
    </row>
    <row r="106" spans="1:15" ht="15.75">
      <c r="A106" s="2214"/>
      <c r="B106" s="2265" t="s">
        <v>1428</v>
      </c>
      <c r="C106" s="2281">
        <v>1</v>
      </c>
      <c r="D106" s="2212" t="s">
        <v>257</v>
      </c>
      <c r="E106" s="2266">
        <f>E94*C106</f>
        <v>40687.990364447454</v>
      </c>
      <c r="F106" s="2212" t="s">
        <v>1437</v>
      </c>
      <c r="G106" s="2212"/>
      <c r="H106" s="2212"/>
      <c r="I106" s="2246" t="s">
        <v>243</v>
      </c>
      <c r="J106" s="2245"/>
      <c r="K106" s="2245"/>
      <c r="L106" s="2244"/>
      <c r="M106" s="2194"/>
      <c r="N106" s="2280" t="s">
        <v>256</v>
      </c>
      <c r="O106" s="2194"/>
    </row>
    <row r="107" spans="1:15" ht="15.75">
      <c r="A107" s="2214"/>
      <c r="B107" s="2212"/>
      <c r="C107" s="2212"/>
      <c r="D107" s="2212"/>
      <c r="E107" s="2279">
        <f>E95*C106</f>
        <v>0.53126616302000251</v>
      </c>
      <c r="F107" s="2278" t="s">
        <v>194</v>
      </c>
      <c r="G107" s="2278"/>
      <c r="H107" s="2212"/>
      <c r="I107" s="2243" t="s">
        <v>1453</v>
      </c>
      <c r="J107" s="2243" t="s">
        <v>1454</v>
      </c>
      <c r="K107" s="2243" t="s">
        <v>245</v>
      </c>
      <c r="L107" s="2258" t="s">
        <v>1456</v>
      </c>
      <c r="M107" s="2194"/>
      <c r="N107" s="2258" t="s">
        <v>1456</v>
      </c>
      <c r="O107" s="2194"/>
    </row>
    <row r="108" spans="1:15">
      <c r="A108" s="2214"/>
      <c r="B108" s="2265" t="s">
        <v>1429</v>
      </c>
      <c r="C108" s="2212"/>
      <c r="D108" s="2212"/>
      <c r="E108" s="2214"/>
      <c r="F108" s="2212"/>
      <c r="G108" s="2212"/>
      <c r="H108" s="2212"/>
      <c r="I108" s="2215"/>
      <c r="J108" s="2215"/>
      <c r="K108" s="2215"/>
      <c r="L108" s="2276"/>
      <c r="M108" s="2194"/>
      <c r="N108" s="2275"/>
      <c r="O108" s="2194"/>
    </row>
    <row r="109" spans="1:15" ht="15.75">
      <c r="A109" s="2214"/>
      <c r="B109" s="2212" t="s">
        <v>1371</v>
      </c>
      <c r="C109" s="2242">
        <v>3.3999999999999998E-3</v>
      </c>
      <c r="D109" s="2212" t="s">
        <v>254</v>
      </c>
      <c r="E109" s="2214"/>
      <c r="F109" s="2212"/>
      <c r="G109" s="2212"/>
      <c r="H109" s="2212"/>
      <c r="I109" s="2215">
        <f>$C109*$E$95*VLOOKUP($B109,'[3]Standard values'!$C$9:$S$159,7, FALSE)/$E$158</f>
        <v>0.41070129999999999</v>
      </c>
      <c r="J109" s="2215">
        <f>$C109*$E$95*VLOOKUP($B109,'[3]Standard values'!$C$9:$S$159,8, FALSE)/$E$158</f>
        <v>1.0015833333333333E-3</v>
      </c>
      <c r="K109" s="2215">
        <f>$C109*$E$95*VLOOKUP($B109,'[3]Standard values'!$C$9:$S$159,9, FALSE)/$E$158</f>
        <v>1.8605555555555555E-5</v>
      </c>
      <c r="L109" s="2240">
        <f>I109*'[3]Standard values'!$D$10+J109*'[3]Standard values'!$D$11+K109*'[3]Standard values'!$D$12</f>
        <v>0.44128533888888888</v>
      </c>
      <c r="M109" s="2194"/>
      <c r="N109" s="2274">
        <f>+L109/$E$67</f>
        <v>11.830859935611111</v>
      </c>
      <c r="O109" s="2194"/>
    </row>
    <row r="110" spans="1:15" ht="14.25">
      <c r="A110" s="2239"/>
      <c r="B110" s="2237"/>
      <c r="C110" s="2237"/>
      <c r="D110" s="2237"/>
      <c r="E110" s="2239"/>
      <c r="F110" s="2238"/>
      <c r="G110" s="2238"/>
      <c r="H110" s="2238" t="s">
        <v>241</v>
      </c>
      <c r="I110" s="2237"/>
      <c r="J110" s="2236" t="s">
        <v>1451</v>
      </c>
      <c r="K110" s="2235"/>
      <c r="L110" s="2234">
        <f>L109</f>
        <v>0.44128533888888888</v>
      </c>
      <c r="M110" s="2194"/>
      <c r="N110" s="2193"/>
      <c r="O110" s="2194"/>
    </row>
    <row r="111" spans="1:15">
      <c r="A111" s="2193"/>
      <c r="B111" s="2193"/>
      <c r="C111" s="2193"/>
      <c r="D111" s="2193"/>
      <c r="E111" s="2193"/>
      <c r="F111" s="2233"/>
      <c r="G111" s="2233"/>
      <c r="H111" s="2233"/>
      <c r="I111" s="2193"/>
      <c r="J111" s="2232"/>
      <c r="K111" s="2231"/>
      <c r="L111" s="2272"/>
      <c r="M111" s="2194"/>
      <c r="N111" s="2193"/>
      <c r="O111" s="2194"/>
    </row>
    <row r="112" spans="1:15">
      <c r="A112" s="2193"/>
      <c r="B112" s="2193"/>
      <c r="C112" s="2193"/>
      <c r="D112" s="2193"/>
      <c r="E112" s="2193"/>
      <c r="F112" s="2233"/>
      <c r="G112" s="2233"/>
      <c r="H112" s="2233"/>
      <c r="I112" s="2193"/>
      <c r="J112" s="2232"/>
      <c r="K112" s="2231"/>
      <c r="L112" s="2272"/>
      <c r="M112" s="2194"/>
      <c r="N112" s="2194"/>
      <c r="O112" s="2194"/>
    </row>
    <row r="113" spans="1:15" ht="15.75">
      <c r="A113" s="2229" t="s">
        <v>253</v>
      </c>
      <c r="B113" s="2252"/>
      <c r="C113" s="2251"/>
      <c r="D113" s="2228"/>
      <c r="E113" s="2250"/>
      <c r="F113" s="2228"/>
      <c r="G113" s="2228"/>
      <c r="H113" s="2228"/>
      <c r="I113" s="2228"/>
      <c r="J113" s="2228"/>
      <c r="K113" s="2228"/>
      <c r="L113" s="2249"/>
      <c r="M113" s="2194"/>
      <c r="N113" s="2194"/>
      <c r="O113" s="2194"/>
    </row>
    <row r="114" spans="1:15" ht="15.75">
      <c r="A114" s="2248"/>
      <c r="B114" s="2271" t="s">
        <v>1193</v>
      </c>
      <c r="C114" s="2265" t="s">
        <v>252</v>
      </c>
      <c r="D114" s="2212"/>
      <c r="E114" s="2214"/>
      <c r="F114" s="2212"/>
      <c r="G114" s="2212"/>
      <c r="H114" s="2212"/>
      <c r="I114" s="2212"/>
      <c r="J114" s="2212"/>
      <c r="K114" s="2212"/>
      <c r="L114" s="2244"/>
      <c r="M114" s="2194"/>
      <c r="N114" s="2193"/>
      <c r="O114" s="2193"/>
    </row>
    <row r="115" spans="1:15" ht="15.75" customHeight="1">
      <c r="A115" s="2248"/>
      <c r="B115" s="2265"/>
      <c r="C115" s="2267"/>
      <c r="D115" s="2264" t="s">
        <v>747</v>
      </c>
      <c r="E115" s="2263" t="str">
        <f>IF(D117="Yes","From :  ", " ")</f>
        <v xml:space="preserve"> </v>
      </c>
      <c r="F115" s="3240" t="str">
        <f>IF(D117="Yes",[3]LUC!H$35 &amp; " ; " &amp; [3]LUC!H$36 &amp; " ; " &amp; [3]LUC!H$39 &amp; " ; " &amp; [3]LUC!H$40 &amp; " ; " &amp; [3]LUC!H$45 &amp; " ; " &amp; [3]LUC!H$46 &amp; " ; " &amp; [3]LUC!H$47, " ")</f>
        <v xml:space="preserve"> </v>
      </c>
      <c r="G115" s="3240"/>
      <c r="H115" s="3240"/>
      <c r="I115" s="3240"/>
      <c r="J115" s="3240"/>
      <c r="K115" s="3240"/>
      <c r="L115" s="3241"/>
      <c r="M115" s="2194"/>
      <c r="N115" s="2193"/>
      <c r="O115" s="2193"/>
    </row>
    <row r="116" spans="1:15" ht="15.75">
      <c r="A116" s="2248"/>
      <c r="B116" s="2243" t="s">
        <v>251</v>
      </c>
      <c r="C116" s="2270" t="s">
        <v>747</v>
      </c>
      <c r="D116" s="2264" t="s">
        <v>748</v>
      </c>
      <c r="E116" s="2266"/>
      <c r="F116" s="3240"/>
      <c r="G116" s="3240"/>
      <c r="H116" s="3240"/>
      <c r="I116" s="3240"/>
      <c r="J116" s="3240"/>
      <c r="K116" s="3240"/>
      <c r="L116" s="3241"/>
      <c r="M116" s="2194"/>
      <c r="N116" s="2193"/>
      <c r="O116" s="2193"/>
    </row>
    <row r="117" spans="1:15" ht="15.75" customHeight="1">
      <c r="A117" s="2248"/>
      <c r="B117" s="2265"/>
      <c r="C117" s="2261" t="str">
        <f>IF(D117="Yes","Go to", " ")</f>
        <v xml:space="preserve"> </v>
      </c>
      <c r="D117" s="2264" t="s">
        <v>748</v>
      </c>
      <c r="E117" s="2263" t="str">
        <f>IF(D117="Yes","To    :   ", " ")</f>
        <v xml:space="preserve"> </v>
      </c>
      <c r="F117" s="3242" t="str">
        <f>IF(D117="Yes", [3]LUC!D$35 &amp; " ; " &amp; [3]LUC!D$36 &amp; " ; " &amp; [3]LUC!D$39 &amp; " ; " &amp; [3]LUC!D$40 &amp; " ; " &amp; [3]LUC!D$45 &amp; " ; " &amp; [3]LUC!D$46 &amp; " ; " &amp; [3]LUC!D$47, " ")</f>
        <v xml:space="preserve"> </v>
      </c>
      <c r="G117" s="3242"/>
      <c r="H117" s="3242"/>
      <c r="I117" s="3242"/>
      <c r="J117" s="3242"/>
      <c r="K117" s="3242"/>
      <c r="L117" s="3243"/>
      <c r="M117" s="2194"/>
      <c r="N117" s="2193"/>
      <c r="O117" s="2193"/>
    </row>
    <row r="118" spans="1:15" ht="15.75">
      <c r="A118" s="2248"/>
      <c r="B118" s="2247"/>
      <c r="C118" s="551" t="str">
        <f>IF(D117="Yes","sheet 'LUC' ", " ")</f>
        <v xml:space="preserve"> </v>
      </c>
      <c r="D118" s="2212"/>
      <c r="E118" s="2260"/>
      <c r="F118" s="3242"/>
      <c r="G118" s="3242"/>
      <c r="H118" s="3242"/>
      <c r="I118" s="3242"/>
      <c r="J118" s="3242"/>
      <c r="K118" s="3242"/>
      <c r="L118" s="3243"/>
      <c r="M118" s="2194"/>
      <c r="N118" s="2193"/>
      <c r="O118" s="2193"/>
    </row>
    <row r="119" spans="1:15" ht="15.75">
      <c r="A119" s="2248"/>
      <c r="B119" s="2247"/>
      <c r="C119" s="2261" t="str">
        <f>IF(D117="Yes","to calculate the land use change", " ")</f>
        <v xml:space="preserve"> </v>
      </c>
      <c r="D119" s="2212"/>
      <c r="E119" s="2260"/>
      <c r="F119" s="2259"/>
      <c r="G119" s="2259"/>
      <c r="H119" s="2259"/>
      <c r="I119" s="2246" t="s">
        <v>243</v>
      </c>
      <c r="J119" s="2245"/>
      <c r="K119" s="2259"/>
      <c r="L119" s="2262"/>
      <c r="M119" s="2194"/>
      <c r="N119" s="2193"/>
      <c r="O119" s="2193"/>
    </row>
    <row r="120" spans="1:15" ht="16.5">
      <c r="A120" s="2248"/>
      <c r="B120" s="2247"/>
      <c r="C120" s="2261"/>
      <c r="D120" s="2212"/>
      <c r="E120" s="2260"/>
      <c r="F120" s="2259"/>
      <c r="G120" s="2259"/>
      <c r="H120" s="2259"/>
      <c r="I120" s="2243" t="s">
        <v>1453</v>
      </c>
      <c r="J120" s="2243" t="s">
        <v>1454</v>
      </c>
      <c r="K120" s="2243" t="s">
        <v>245</v>
      </c>
      <c r="L120" s="2258" t="s">
        <v>1456</v>
      </c>
      <c r="M120" s="2194"/>
      <c r="N120" s="2193"/>
      <c r="O120" s="2193"/>
    </row>
    <row r="121" spans="1:15" ht="16.5">
      <c r="A121" s="2248"/>
      <c r="B121" s="2257" t="s">
        <v>250</v>
      </c>
      <c r="C121" s="2256">
        <f>IF(D117="Yes",[3]LUC!$J$82,0)</f>
        <v>0</v>
      </c>
      <c r="D121" s="2255" t="s">
        <v>244</v>
      </c>
      <c r="E121" s="2214"/>
      <c r="F121" s="2212"/>
      <c r="G121" s="2212"/>
      <c r="H121" s="2212"/>
      <c r="I121" s="2215">
        <f>$C121*1000000/$E$157</f>
        <v>0</v>
      </c>
      <c r="J121" s="2215">
        <v>0</v>
      </c>
      <c r="K121" s="2215">
        <v>0</v>
      </c>
      <c r="L121" s="2254">
        <f>I121*'[3]Standard values'!$D$10+J121*'[3]Standard values'!$D$11+K121*'[3]Standard values'!$D$12</f>
        <v>0</v>
      </c>
      <c r="M121" s="2194"/>
      <c r="N121" s="2193"/>
      <c r="O121" s="2193"/>
    </row>
    <row r="122" spans="1:15" ht="15.75">
      <c r="A122" s="2248"/>
      <c r="B122" s="2247"/>
      <c r="C122" s="2246"/>
      <c r="D122" s="2212"/>
      <c r="E122" s="2214"/>
      <c r="F122" s="2212"/>
      <c r="G122" s="2212"/>
      <c r="H122" s="2212"/>
      <c r="I122" s="2215"/>
      <c r="J122" s="2215"/>
      <c r="K122" s="2215"/>
      <c r="L122" s="2240"/>
      <c r="M122" s="2194"/>
      <c r="N122" s="2193"/>
      <c r="O122" s="2193"/>
    </row>
    <row r="123" spans="1:15" ht="15.75">
      <c r="A123" s="2214"/>
      <c r="B123" s="2243" t="s">
        <v>249</v>
      </c>
      <c r="C123" s="2242">
        <v>0</v>
      </c>
      <c r="D123" s="2241" t="s">
        <v>242</v>
      </c>
      <c r="E123" s="2214"/>
      <c r="F123" s="2212"/>
      <c r="G123" s="2212"/>
      <c r="H123" s="2212"/>
      <c r="I123" s="2215">
        <f>-C123</f>
        <v>0</v>
      </c>
      <c r="J123" s="2215">
        <v>0</v>
      </c>
      <c r="K123" s="2215">
        <v>0</v>
      </c>
      <c r="L123" s="2254">
        <f>I123*'[3]Standard values'!$D$10+J123*'[3]Standard values'!$D$11+K123*'[3]Standard values'!$D$12</f>
        <v>0</v>
      </c>
      <c r="M123" s="2194"/>
      <c r="N123" s="2193"/>
      <c r="O123" s="2193"/>
    </row>
    <row r="124" spans="1:15">
      <c r="A124" s="2214"/>
      <c r="B124" s="2243" t="str">
        <f>IF(C123=-29,"Year of conversion:","")</f>
        <v/>
      </c>
      <c r="C124" s="2268"/>
      <c r="D124" s="2241" t="str">
        <f>IF(C123=-29,"Fill in the year of conversion","")</f>
        <v/>
      </c>
      <c r="E124" s="2214"/>
      <c r="F124" s="2212"/>
      <c r="G124" s="2212"/>
      <c r="H124" s="2212"/>
      <c r="I124" s="2212"/>
      <c r="J124" s="2212"/>
      <c r="K124" s="2215"/>
      <c r="L124" s="2240">
        <f>SUM(L121:L123)</f>
        <v>0</v>
      </c>
      <c r="M124" s="2194"/>
      <c r="N124" s="2193"/>
      <c r="O124" s="2193"/>
    </row>
    <row r="125" spans="1:15">
      <c r="A125" s="2214"/>
      <c r="B125" s="2243"/>
      <c r="C125" s="2243"/>
      <c r="D125" s="2241"/>
      <c r="E125" s="2214"/>
      <c r="F125" s="2212"/>
      <c r="G125" s="2212"/>
      <c r="H125" s="2212"/>
      <c r="I125" s="2212"/>
      <c r="J125" s="2212"/>
      <c r="K125" s="2215"/>
      <c r="L125" s="2253"/>
      <c r="M125" s="2194"/>
      <c r="N125" s="2193"/>
      <c r="O125" s="2193"/>
    </row>
    <row r="126" spans="1:15" ht="14.25">
      <c r="A126" s="2239"/>
      <c r="B126" s="2237"/>
      <c r="C126" s="2237"/>
      <c r="D126" s="2237"/>
      <c r="E126" s="2239"/>
      <c r="F126" s="2238"/>
      <c r="G126" s="2238"/>
      <c r="H126" s="2238" t="s">
        <v>241</v>
      </c>
      <c r="I126" s="2237"/>
      <c r="J126" s="2236" t="s">
        <v>1451</v>
      </c>
      <c r="K126" s="2235"/>
      <c r="L126" s="2234">
        <f>L124</f>
        <v>0</v>
      </c>
      <c r="M126" s="2194"/>
      <c r="N126" s="2193"/>
      <c r="O126" s="2193"/>
    </row>
    <row r="127" spans="1:15">
      <c r="A127" s="2193"/>
      <c r="B127" s="2193"/>
      <c r="C127" s="2193"/>
      <c r="D127" s="2193"/>
      <c r="E127" s="2193"/>
      <c r="F127" s="2233"/>
      <c r="G127" s="2233"/>
      <c r="H127" s="2233"/>
      <c r="I127" s="2193"/>
      <c r="J127" s="2232"/>
      <c r="K127" s="2231"/>
      <c r="L127" s="2230"/>
      <c r="M127" s="2194"/>
      <c r="N127" s="2193"/>
      <c r="O127" s="2193"/>
    </row>
    <row r="128" spans="1:15">
      <c r="A128" s="2193"/>
      <c r="B128" s="2193"/>
      <c r="C128" s="2193"/>
      <c r="D128" s="2193"/>
      <c r="E128" s="2193"/>
      <c r="F128" s="2233"/>
      <c r="G128" s="2233"/>
      <c r="H128" s="2233"/>
      <c r="I128" s="2193"/>
      <c r="J128" s="2232"/>
      <c r="K128" s="2231"/>
      <c r="L128" s="2230"/>
      <c r="M128" s="2194"/>
      <c r="N128" s="2193"/>
      <c r="O128" s="2193"/>
    </row>
    <row r="129" spans="1:15" ht="15.75">
      <c r="A129" s="2229" t="s">
        <v>248</v>
      </c>
      <c r="B129" s="2252"/>
      <c r="C129" s="2251"/>
      <c r="D129" s="2228"/>
      <c r="E129" s="2250"/>
      <c r="F129" s="2228"/>
      <c r="G129" s="2228"/>
      <c r="H129" s="2228"/>
      <c r="I129" s="2228"/>
      <c r="J129" s="2228"/>
      <c r="K129" s="2228"/>
      <c r="L129" s="2249"/>
      <c r="M129" s="2194"/>
      <c r="N129" s="2193"/>
      <c r="O129" s="2193"/>
    </row>
    <row r="130" spans="1:15" ht="15.75">
      <c r="A130" s="2248"/>
      <c r="B130" s="2247" t="s">
        <v>1192</v>
      </c>
      <c r="C130" s="2246" t="s">
        <v>247</v>
      </c>
      <c r="D130" s="2211"/>
      <c r="E130" s="2214"/>
      <c r="F130" s="2212"/>
      <c r="G130" s="2212"/>
      <c r="H130" s="2212"/>
      <c r="I130" s="2246" t="s">
        <v>243</v>
      </c>
      <c r="J130" s="2245"/>
      <c r="K130" s="2245"/>
      <c r="L130" s="2244"/>
      <c r="M130" s="2194"/>
      <c r="N130" s="2193"/>
      <c r="O130" s="2193"/>
    </row>
    <row r="131" spans="1:15" ht="15.75" customHeight="1">
      <c r="A131" s="2248"/>
      <c r="B131" s="2265"/>
      <c r="C131" s="2267"/>
      <c r="D131" s="2264" t="s">
        <v>747</v>
      </c>
      <c r="E131" s="2263" t="str">
        <f>IF(D133="Yes","From :  ", " ")</f>
        <v xml:space="preserve"> </v>
      </c>
      <c r="F131" s="3240" t="str">
        <f>IF(D133="Yes",[3]Esca!H$42 &amp; ", " &amp; [3]Esca!H$43 &amp; " input ","")</f>
        <v/>
      </c>
      <c r="G131" s="3240"/>
      <c r="H131" s="3240"/>
      <c r="I131" s="3240"/>
      <c r="J131" s="3240"/>
      <c r="K131" s="3240"/>
      <c r="L131" s="3241"/>
      <c r="M131" s="2194"/>
      <c r="N131" s="2193"/>
      <c r="O131" s="2193"/>
    </row>
    <row r="132" spans="1:15" ht="15.75">
      <c r="A132" s="2248"/>
      <c r="B132" s="2243" t="s">
        <v>246</v>
      </c>
      <c r="C132" s="2267"/>
      <c r="D132" s="2264" t="s">
        <v>748</v>
      </c>
      <c r="E132" s="2266"/>
      <c r="F132" s="3240"/>
      <c r="G132" s="3240"/>
      <c r="H132" s="3240"/>
      <c r="I132" s="3240"/>
      <c r="J132" s="3240"/>
      <c r="K132" s="3240"/>
      <c r="L132" s="3241"/>
      <c r="M132" s="2194"/>
      <c r="N132" s="2193"/>
      <c r="O132" s="2193"/>
    </row>
    <row r="133" spans="1:15" ht="15.75" customHeight="1">
      <c r="A133" s="2248"/>
      <c r="B133" s="2265"/>
      <c r="C133" s="2261" t="str">
        <f>IF(D133="Yes","Go to", " ")</f>
        <v xml:space="preserve"> </v>
      </c>
      <c r="D133" s="2264" t="s">
        <v>748</v>
      </c>
      <c r="E133" s="2263" t="str">
        <f>IF(D133="Yes","To    :   ", " ")</f>
        <v xml:space="preserve"> </v>
      </c>
      <c r="F133" s="3240" t="str">
        <f>IF(D133="Yes",[3]Esca!D$42 &amp; ", " &amp; [3]Esca!D$43 &amp; " input ","")</f>
        <v/>
      </c>
      <c r="G133" s="3240"/>
      <c r="H133" s="3240"/>
      <c r="I133" s="3240"/>
      <c r="J133" s="3240"/>
      <c r="K133" s="3240"/>
      <c r="L133" s="3241"/>
      <c r="M133" s="2194"/>
      <c r="N133" s="2193"/>
      <c r="O133" s="2193"/>
    </row>
    <row r="134" spans="1:15" ht="15.75">
      <c r="A134" s="2248"/>
      <c r="B134" s="2247"/>
      <c r="C134" s="551" t="str">
        <f>IF(D133="Yes","sheet 'Esca' ", " ")</f>
        <v xml:space="preserve"> </v>
      </c>
      <c r="D134" s="2212"/>
      <c r="E134" s="2260"/>
      <c r="F134" s="3240"/>
      <c r="G134" s="3240"/>
      <c r="H134" s="3240"/>
      <c r="I134" s="3240"/>
      <c r="J134" s="3240"/>
      <c r="K134" s="3240"/>
      <c r="L134" s="3241"/>
      <c r="M134" s="2194"/>
      <c r="N134" s="2193"/>
      <c r="O134" s="2193"/>
    </row>
    <row r="135" spans="1:15" ht="15.75">
      <c r="A135" s="2248"/>
      <c r="B135" s="2247"/>
      <c r="C135" s="2261" t="str">
        <f>IF(D133="Yes","to calculate the soil carbon accumulation", " ")</f>
        <v xml:space="preserve"> </v>
      </c>
      <c r="D135" s="2212"/>
      <c r="E135" s="2260"/>
      <c r="F135" s="2259"/>
      <c r="G135" s="2259"/>
      <c r="H135" s="2259"/>
      <c r="I135" s="2246" t="s">
        <v>243</v>
      </c>
      <c r="J135" s="2245"/>
      <c r="K135" s="2259"/>
      <c r="L135" s="2262"/>
      <c r="M135" s="2194"/>
      <c r="N135" s="2193"/>
      <c r="O135" s="2193"/>
    </row>
    <row r="136" spans="1:15" ht="16.5">
      <c r="A136" s="2248"/>
      <c r="B136" s="2247"/>
      <c r="C136" s="2261"/>
      <c r="D136" s="2212"/>
      <c r="E136" s="2260"/>
      <c r="F136" s="2259"/>
      <c r="G136" s="2259"/>
      <c r="H136" s="2259"/>
      <c r="I136" s="2243" t="s">
        <v>1453</v>
      </c>
      <c r="J136" s="2243" t="s">
        <v>1454</v>
      </c>
      <c r="K136" s="2243" t="s">
        <v>245</v>
      </c>
      <c r="L136" s="2258" t="s">
        <v>1456</v>
      </c>
      <c r="M136" s="2194"/>
      <c r="N136" s="2193"/>
      <c r="O136" s="2193"/>
    </row>
    <row r="137" spans="1:15" ht="16.5">
      <c r="A137" s="2248"/>
      <c r="B137" s="2257" t="s">
        <v>834</v>
      </c>
      <c r="C137" s="2256">
        <f>IF(D133="yes",[3]Esca!$J$77,0)</f>
        <v>0</v>
      </c>
      <c r="D137" s="2255" t="s">
        <v>244</v>
      </c>
      <c r="E137" s="2214"/>
      <c r="F137" s="2212"/>
      <c r="G137" s="2212"/>
      <c r="H137" s="2212"/>
      <c r="I137" s="2215">
        <f>$C137*1000000/$E$157</f>
        <v>0</v>
      </c>
      <c r="J137" s="2215">
        <v>0</v>
      </c>
      <c r="K137" s="2215">
        <v>0</v>
      </c>
      <c r="L137" s="2254">
        <f>I137*'[3]Standard values'!$D$10+J137*'[3]Standard values'!$D$11+K137*'[3]Standard values'!$D$12</f>
        <v>0</v>
      </c>
      <c r="M137" s="2194"/>
      <c r="N137" s="2193"/>
      <c r="O137" s="2193"/>
    </row>
    <row r="138" spans="1:15">
      <c r="A138" s="2214"/>
      <c r="B138" s="2243"/>
      <c r="C138" s="2243"/>
      <c r="D138" s="2241"/>
      <c r="E138" s="2214"/>
      <c r="F138" s="2212"/>
      <c r="G138" s="2212"/>
      <c r="H138" s="2212"/>
      <c r="I138" s="2212"/>
      <c r="J138" s="2212"/>
      <c r="K138" s="2215"/>
      <c r="L138" s="2240">
        <f>SUM(L137:L137)</f>
        <v>0</v>
      </c>
      <c r="M138" s="2194"/>
      <c r="N138" s="2193"/>
      <c r="O138" s="2193"/>
    </row>
    <row r="139" spans="1:15">
      <c r="A139" s="2214"/>
      <c r="B139" s="2243"/>
      <c r="C139" s="2243"/>
      <c r="D139" s="2241"/>
      <c r="E139" s="2214"/>
      <c r="F139" s="2212"/>
      <c r="G139" s="2212"/>
      <c r="H139" s="2212"/>
      <c r="I139" s="2212"/>
      <c r="J139" s="2212"/>
      <c r="K139" s="2215"/>
      <c r="L139" s="2253"/>
      <c r="M139" s="2194"/>
      <c r="N139" s="2193"/>
      <c r="O139" s="2193"/>
    </row>
    <row r="140" spans="1:15" ht="14.25">
      <c r="A140" s="2239"/>
      <c r="B140" s="2237"/>
      <c r="C140" s="2237"/>
      <c r="D140" s="2237"/>
      <c r="E140" s="2239"/>
      <c r="F140" s="2238"/>
      <c r="G140" s="2238"/>
      <c r="H140" s="2238" t="s">
        <v>241</v>
      </c>
      <c r="I140" s="2237"/>
      <c r="J140" s="2236" t="s">
        <v>1451</v>
      </c>
      <c r="K140" s="2235"/>
      <c r="L140" s="2234">
        <f>L138</f>
        <v>0</v>
      </c>
      <c r="M140" s="2194"/>
      <c r="N140" s="2193"/>
      <c r="O140" s="2193"/>
    </row>
    <row r="141" spans="1:15">
      <c r="A141" s="2193"/>
      <c r="B141" s="2193"/>
      <c r="C141" s="2193"/>
      <c r="D141" s="2193"/>
      <c r="E141" s="2193"/>
      <c r="F141" s="2233"/>
      <c r="G141" s="2233"/>
      <c r="H141" s="2233"/>
      <c r="I141" s="2193"/>
      <c r="J141" s="2232"/>
      <c r="K141" s="2231"/>
      <c r="L141" s="2230"/>
      <c r="M141" s="2194"/>
      <c r="N141" s="2193"/>
      <c r="O141" s="2193"/>
    </row>
    <row r="142" spans="1:15">
      <c r="A142" s="2193"/>
      <c r="B142" s="2193"/>
      <c r="C142" s="2193"/>
      <c r="D142" s="2193"/>
      <c r="E142" s="2193"/>
      <c r="F142" s="2233"/>
      <c r="G142" s="2233"/>
      <c r="H142" s="2233"/>
      <c r="I142" s="2193"/>
      <c r="J142" s="2232"/>
      <c r="K142" s="2231"/>
      <c r="L142" s="2230"/>
      <c r="M142" s="2194"/>
      <c r="N142" s="2193"/>
      <c r="O142" s="2193"/>
    </row>
    <row r="143" spans="1:15" ht="18.75">
      <c r="A143" s="2229" t="s">
        <v>1190</v>
      </c>
      <c r="B143" s="2252"/>
      <c r="C143" s="2251"/>
      <c r="D143" s="2228"/>
      <c r="E143" s="2250"/>
      <c r="F143" s="2228"/>
      <c r="G143" s="2228"/>
      <c r="H143" s="2228"/>
      <c r="I143" s="2228"/>
      <c r="J143" s="2228"/>
      <c r="K143" s="2228"/>
      <c r="L143" s="2249"/>
      <c r="M143" s="2194"/>
      <c r="N143" s="2193"/>
      <c r="O143" s="2193"/>
    </row>
    <row r="144" spans="1:15" ht="15.75">
      <c r="A144" s="2248"/>
      <c r="B144" s="2247" t="s">
        <v>1188</v>
      </c>
      <c r="C144" s="2246"/>
      <c r="D144" s="2212"/>
      <c r="E144" s="2214"/>
      <c r="F144" s="2212"/>
      <c r="G144" s="2212"/>
      <c r="H144" s="2212"/>
      <c r="I144" s="2246" t="s">
        <v>243</v>
      </c>
      <c r="J144" s="2245"/>
      <c r="K144" s="2245"/>
      <c r="L144" s="2244"/>
      <c r="M144" s="2194"/>
      <c r="N144" s="2193"/>
      <c r="O144" s="2193"/>
    </row>
    <row r="145" spans="1:15" ht="15.75">
      <c r="A145" s="2214"/>
      <c r="B145" s="2243"/>
      <c r="C145" s="2242">
        <v>0</v>
      </c>
      <c r="D145" s="2241" t="s">
        <v>242</v>
      </c>
      <c r="E145" s="2214"/>
      <c r="F145" s="2212"/>
      <c r="G145" s="2212"/>
      <c r="H145" s="2212"/>
      <c r="I145" s="2212"/>
      <c r="J145" s="2212"/>
      <c r="K145" s="2215"/>
      <c r="L145" s="2240">
        <f>C145</f>
        <v>0</v>
      </c>
      <c r="M145" s="2194"/>
      <c r="N145" s="2193"/>
      <c r="O145" s="2193"/>
    </row>
    <row r="146" spans="1:15" ht="14.25">
      <c r="A146" s="2239"/>
      <c r="B146" s="2237"/>
      <c r="C146" s="2237"/>
      <c r="D146" s="2237"/>
      <c r="E146" s="2239"/>
      <c r="F146" s="2238"/>
      <c r="G146" s="2238"/>
      <c r="H146" s="2238" t="s">
        <v>241</v>
      </c>
      <c r="I146" s="2237"/>
      <c r="J146" s="2236" t="s">
        <v>1451</v>
      </c>
      <c r="K146" s="2235"/>
      <c r="L146" s="2234">
        <f>C145</f>
        <v>0</v>
      </c>
      <c r="M146" s="2194"/>
      <c r="N146" s="2193"/>
      <c r="O146" s="2193"/>
    </row>
    <row r="147" spans="1:15">
      <c r="A147" s="2193"/>
      <c r="B147" s="2193"/>
      <c r="C147" s="2193"/>
      <c r="D147" s="2193"/>
      <c r="E147" s="2193"/>
      <c r="F147" s="2233"/>
      <c r="G147" s="2233"/>
      <c r="H147" s="2233"/>
      <c r="I147" s="2193"/>
      <c r="J147" s="2232"/>
      <c r="K147" s="2231"/>
      <c r="L147" s="2230"/>
      <c r="M147" s="2194"/>
      <c r="N147" s="2193"/>
      <c r="O147" s="2193"/>
    </row>
    <row r="148" spans="1:15">
      <c r="A148" s="2193"/>
      <c r="B148" s="2193"/>
      <c r="C148" s="2193"/>
      <c r="D148" s="2193"/>
      <c r="E148" s="2193"/>
      <c r="F148" s="2233"/>
      <c r="G148" s="2233"/>
      <c r="H148" s="2233"/>
      <c r="I148" s="2193"/>
      <c r="J148" s="2232"/>
      <c r="K148" s="2231"/>
      <c r="L148" s="2230"/>
      <c r="M148" s="2194"/>
      <c r="N148" s="2193"/>
      <c r="O148" s="2193"/>
    </row>
    <row r="149" spans="1:15" ht="18.75">
      <c r="A149" s="2229" t="s">
        <v>1191</v>
      </c>
      <c r="B149" s="2252"/>
      <c r="C149" s="2251"/>
      <c r="D149" s="2228"/>
      <c r="E149" s="2250"/>
      <c r="F149" s="2228"/>
      <c r="G149" s="2228"/>
      <c r="H149" s="2228"/>
      <c r="I149" s="2228"/>
      <c r="J149" s="2228"/>
      <c r="K149" s="2228"/>
      <c r="L149" s="2249"/>
      <c r="M149" s="2194"/>
      <c r="N149" s="2193"/>
      <c r="O149" s="2193"/>
    </row>
    <row r="150" spans="1:15" ht="15.75">
      <c r="A150" s="2248"/>
      <c r="B150" s="2247" t="s">
        <v>1189</v>
      </c>
      <c r="C150" s="2246"/>
      <c r="D150" s="2212"/>
      <c r="E150" s="2214"/>
      <c r="F150" s="2212"/>
      <c r="G150" s="2212"/>
      <c r="H150" s="2212"/>
      <c r="I150" s="2246" t="s">
        <v>243</v>
      </c>
      <c r="J150" s="2245"/>
      <c r="K150" s="2245"/>
      <c r="L150" s="2244"/>
      <c r="M150" s="2194"/>
      <c r="N150" s="2193"/>
      <c r="O150" s="2193"/>
    </row>
    <row r="151" spans="1:15" ht="15.75">
      <c r="A151" s="2214"/>
      <c r="B151" s="2243"/>
      <c r="C151" s="2242">
        <v>0</v>
      </c>
      <c r="D151" s="2241" t="s">
        <v>242</v>
      </c>
      <c r="E151" s="2214"/>
      <c r="F151" s="2212"/>
      <c r="G151" s="2212"/>
      <c r="H151" s="2212"/>
      <c r="I151" s="2212"/>
      <c r="J151" s="2212"/>
      <c r="K151" s="2215"/>
      <c r="L151" s="2240">
        <f>C151</f>
        <v>0</v>
      </c>
      <c r="M151" s="2194"/>
      <c r="N151" s="2193"/>
      <c r="O151" s="2193"/>
    </row>
    <row r="152" spans="1:15" ht="14.25">
      <c r="A152" s="2239"/>
      <c r="B152" s="2237"/>
      <c r="C152" s="2237"/>
      <c r="D152" s="2237"/>
      <c r="E152" s="2239"/>
      <c r="F152" s="2238"/>
      <c r="G152" s="2238"/>
      <c r="H152" s="2238" t="s">
        <v>241</v>
      </c>
      <c r="I152" s="2237"/>
      <c r="J152" s="2236" t="s">
        <v>1451</v>
      </c>
      <c r="K152" s="2235"/>
      <c r="L152" s="2234">
        <f>C151</f>
        <v>0</v>
      </c>
      <c r="M152" s="2194"/>
      <c r="N152" s="2193"/>
      <c r="O152" s="2193"/>
    </row>
    <row r="153" spans="1:15">
      <c r="A153" s="2193"/>
      <c r="B153" s="2193"/>
      <c r="C153" s="2193"/>
      <c r="D153" s="2193"/>
      <c r="E153" s="2193"/>
      <c r="F153" s="2233"/>
      <c r="G153" s="2233"/>
      <c r="H153" s="2233"/>
      <c r="I153" s="2193"/>
      <c r="J153" s="2232"/>
      <c r="K153" s="2231"/>
      <c r="L153" s="2230"/>
      <c r="M153" s="2194"/>
      <c r="N153" s="2193"/>
      <c r="O153" s="2193"/>
    </row>
    <row r="154" spans="1:15">
      <c r="A154" s="2193"/>
      <c r="B154" s="2193"/>
      <c r="C154" s="2193"/>
      <c r="D154" s="2193"/>
      <c r="E154" s="2193"/>
      <c r="F154" s="2233"/>
      <c r="G154" s="2233"/>
      <c r="H154" s="2233"/>
      <c r="I154" s="2193"/>
      <c r="J154" s="2232"/>
      <c r="K154" s="2231"/>
      <c r="L154" s="2230"/>
      <c r="M154" s="2194"/>
      <c r="N154" s="2193"/>
      <c r="O154" s="2193"/>
    </row>
    <row r="155" spans="1:15" ht="15.75">
      <c r="A155" s="2229" t="s">
        <v>240</v>
      </c>
      <c r="B155" s="2228"/>
      <c r="C155" s="2228"/>
      <c r="D155" s="2228"/>
      <c r="E155" s="2227" t="s">
        <v>239</v>
      </c>
      <c r="F155" s="2226"/>
      <c r="G155" s="2226"/>
      <c r="H155" s="2226"/>
      <c r="I155" s="2224"/>
      <c r="J155" s="2225" t="s">
        <v>1451</v>
      </c>
      <c r="K155" s="2224"/>
      <c r="L155" s="2223">
        <f>L90+L102+L110+L126-L140-L146-L152</f>
        <v>69.890818520083712</v>
      </c>
      <c r="M155" s="2194"/>
      <c r="N155" s="2193"/>
      <c r="O155" s="2193"/>
    </row>
    <row r="156" spans="1:15" ht="15.75">
      <c r="A156" s="2222"/>
      <c r="B156" s="2221"/>
      <c r="C156" s="2221"/>
      <c r="D156" s="2221"/>
      <c r="E156" s="2220"/>
      <c r="F156" s="2220"/>
      <c r="G156" s="2220"/>
      <c r="H156" s="2220"/>
      <c r="I156" s="2220"/>
      <c r="J156" s="2220"/>
      <c r="K156" s="2220"/>
      <c r="L156" s="2219"/>
      <c r="M156" s="2194"/>
      <c r="N156" s="2193"/>
      <c r="O156" s="2193"/>
    </row>
    <row r="157" spans="1:15" ht="15.75">
      <c r="A157" s="2214"/>
      <c r="B157" s="2212"/>
      <c r="C157" s="2212"/>
      <c r="D157" s="2217" t="s">
        <v>238</v>
      </c>
      <c r="E157" s="2218">
        <f>E22*C45*C54*C65*C94*C106</f>
        <v>40687.990364447454</v>
      </c>
      <c r="F157" s="2212" t="s">
        <v>1437</v>
      </c>
      <c r="G157" s="2212"/>
      <c r="H157" s="2212"/>
      <c r="I157" s="2212"/>
      <c r="J157" s="2212"/>
      <c r="K157" s="2212"/>
      <c r="L157" s="2211"/>
      <c r="M157" s="2194"/>
      <c r="N157" s="2193"/>
      <c r="O157" s="2193"/>
    </row>
    <row r="158" spans="1:15" ht="15.75">
      <c r="A158" s="2214"/>
      <c r="B158" s="2212"/>
      <c r="C158" s="2212"/>
      <c r="D158" s="2217" t="s">
        <v>237</v>
      </c>
      <c r="E158" s="2216">
        <f>E157/E22</f>
        <v>0.53126616302000251</v>
      </c>
      <c r="F158" s="2212" t="s">
        <v>1117</v>
      </c>
      <c r="G158" s="2212"/>
      <c r="H158" s="2212"/>
      <c r="I158" s="2215"/>
      <c r="J158" s="2212"/>
      <c r="K158" s="2212"/>
      <c r="L158" s="2211"/>
      <c r="M158" s="2194"/>
      <c r="N158" s="2193"/>
      <c r="O158" s="2193"/>
    </row>
    <row r="159" spans="1:15">
      <c r="A159" s="2214"/>
      <c r="B159" s="2212"/>
      <c r="C159" s="2212"/>
      <c r="D159" s="2212"/>
      <c r="E159" s="2212"/>
      <c r="F159" s="2213"/>
      <c r="G159" s="2213"/>
      <c r="H159" s="2212"/>
      <c r="I159" s="2215"/>
      <c r="J159" s="2212"/>
      <c r="K159" s="2212"/>
      <c r="L159" s="2211"/>
      <c r="M159" s="2194"/>
      <c r="N159" s="2193"/>
      <c r="O159" s="2193"/>
    </row>
    <row r="160" spans="1:15">
      <c r="A160" s="2214"/>
      <c r="B160" s="2212"/>
      <c r="C160" s="2212"/>
      <c r="D160" s="2212"/>
      <c r="E160" s="2212"/>
      <c r="F160" s="2213"/>
      <c r="G160" s="2213"/>
      <c r="H160" s="2212"/>
      <c r="I160" s="2212"/>
      <c r="J160" s="2212"/>
      <c r="K160" s="2212"/>
      <c r="L160" s="2211"/>
      <c r="M160" s="2194"/>
      <c r="N160" s="2193"/>
      <c r="O160" s="2193"/>
    </row>
    <row r="161" spans="1:15" ht="14.25">
      <c r="A161" s="2203"/>
      <c r="B161" s="2202"/>
      <c r="C161" s="2202"/>
      <c r="D161" s="2202"/>
      <c r="E161" s="2205" t="s">
        <v>235</v>
      </c>
      <c r="F161" s="2210"/>
      <c r="G161" s="2210"/>
      <c r="H161" s="2201"/>
      <c r="I161" s="2201"/>
      <c r="J161" s="2205" t="s">
        <v>1451</v>
      </c>
      <c r="K161" s="2201"/>
      <c r="L161" s="2209">
        <f>L41+L50+L60+L81+L102+L110+L126-L140-L146-L152</f>
        <v>116.39268090590119</v>
      </c>
      <c r="M161" s="2194"/>
      <c r="N161" s="2193"/>
      <c r="O161" s="2193"/>
    </row>
    <row r="162" spans="1:15" ht="14.25">
      <c r="A162" s="2208"/>
      <c r="B162" s="2207"/>
      <c r="C162" s="2206"/>
      <c r="D162" s="2202"/>
      <c r="E162" s="2205" t="s">
        <v>234</v>
      </c>
      <c r="F162" s="2201"/>
      <c r="G162" s="2201"/>
      <c r="H162" s="2201"/>
      <c r="I162" s="2201"/>
      <c r="J162" s="2205" t="s">
        <v>1451</v>
      </c>
      <c r="K162" s="2201"/>
      <c r="L162" s="2204">
        <f>L90+L102+L110+L126-L140-L146-L152</f>
        <v>69.890818520083712</v>
      </c>
      <c r="M162" s="2194"/>
      <c r="N162" s="2193"/>
      <c r="O162" s="2193"/>
    </row>
    <row r="163" spans="1:15">
      <c r="A163" s="2203"/>
      <c r="B163" s="2202"/>
      <c r="C163" s="2202"/>
      <c r="D163" s="2202"/>
      <c r="E163" s="2201"/>
      <c r="F163" s="2201"/>
      <c r="G163" s="2201"/>
      <c r="H163" s="2201"/>
      <c r="I163" s="2201"/>
      <c r="J163" s="2201"/>
      <c r="K163" s="2201"/>
      <c r="L163" s="2200"/>
      <c r="M163" s="2194"/>
      <c r="N163" s="2193"/>
      <c r="O163" s="2193"/>
    </row>
    <row r="164" spans="1:15">
      <c r="A164" s="2199"/>
      <c r="B164" s="2198"/>
      <c r="C164" s="2198"/>
      <c r="D164" s="2198"/>
      <c r="E164" s="2197" t="s">
        <v>233</v>
      </c>
      <c r="F164" s="2196"/>
      <c r="G164" s="2196"/>
      <c r="H164" s="2196"/>
      <c r="I164" s="2196"/>
      <c r="J164" s="2196"/>
      <c r="K164" s="2196"/>
      <c r="L164" s="2195">
        <f>(83.8-L162)/83.8</f>
        <v>0.16598068591785542</v>
      </c>
      <c r="M164" s="2194"/>
      <c r="N164" s="2193"/>
      <c r="O164" s="2193"/>
    </row>
    <row r="165" spans="1:15">
      <c r="M165" s="2183"/>
    </row>
    <row r="166" spans="1:15">
      <c r="E166" s="2185"/>
      <c r="F166" s="2185"/>
      <c r="G166" s="2185"/>
      <c r="H166" s="2192"/>
      <c r="I166" s="2185"/>
      <c r="J166" s="2185"/>
      <c r="K166" s="2185"/>
      <c r="L166" s="2191"/>
      <c r="M166" s="2183"/>
    </row>
    <row r="167" spans="1:15">
      <c r="F167" s="2185"/>
      <c r="G167" s="2185"/>
      <c r="H167" s="2185"/>
      <c r="I167" s="2188"/>
      <c r="J167" s="2185"/>
      <c r="K167" s="2185"/>
      <c r="L167" s="2190"/>
      <c r="M167" s="2186"/>
      <c r="N167" s="2183"/>
    </row>
    <row r="168" spans="1:15">
      <c r="F168" s="2185"/>
      <c r="G168" s="2185"/>
      <c r="H168" s="2185"/>
      <c r="I168" s="2188"/>
      <c r="J168" s="2185"/>
      <c r="K168" s="2185"/>
      <c r="L168" s="2190"/>
      <c r="M168" s="2186"/>
      <c r="N168" s="2183"/>
    </row>
    <row r="169" spans="1:15" ht="15.75">
      <c r="F169" s="2189"/>
      <c r="G169" s="2189"/>
      <c r="H169" s="2185"/>
      <c r="I169" s="2185"/>
      <c r="J169" s="2185"/>
      <c r="K169" s="2185"/>
      <c r="L169" s="2185"/>
      <c r="M169" s="2185"/>
      <c r="N169" s="2183"/>
    </row>
    <row r="170" spans="1:15">
      <c r="F170" s="2185"/>
      <c r="G170" s="2185"/>
      <c r="H170" s="2188"/>
      <c r="I170" s="2185"/>
      <c r="J170" s="2185"/>
      <c r="K170" s="2185"/>
      <c r="L170" s="2185"/>
      <c r="M170" s="2185"/>
      <c r="N170" s="2185"/>
    </row>
    <row r="171" spans="1:15">
      <c r="F171" s="2188"/>
      <c r="G171" s="2188"/>
      <c r="H171" s="2185"/>
      <c r="I171" s="2187"/>
      <c r="J171" s="2185"/>
      <c r="K171" s="2185"/>
      <c r="L171" s="2185"/>
      <c r="M171" s="2185"/>
      <c r="N171" s="2185"/>
    </row>
    <row r="172" spans="1:15">
      <c r="F172" s="2188"/>
      <c r="G172" s="2188"/>
      <c r="H172" s="2185"/>
      <c r="I172" s="2187"/>
      <c r="J172" s="2185"/>
      <c r="K172" s="2185"/>
      <c r="L172" s="2185"/>
      <c r="M172" s="2185"/>
      <c r="N172" s="2185"/>
    </row>
    <row r="173" spans="1:15">
      <c r="F173" s="2185"/>
      <c r="G173" s="2185"/>
      <c r="H173" s="2186"/>
      <c r="I173" s="2185"/>
      <c r="J173" s="2185"/>
      <c r="K173" s="2185"/>
      <c r="L173" s="2185"/>
      <c r="M173" s="2185"/>
      <c r="N173" s="2185"/>
    </row>
    <row r="174" spans="1:15">
      <c r="F174" s="2185"/>
      <c r="G174" s="2185"/>
      <c r="H174" s="2185"/>
      <c r="I174" s="2185"/>
      <c r="J174" s="2185"/>
      <c r="K174" s="2185"/>
      <c r="L174" s="2185"/>
      <c r="M174" s="2185"/>
      <c r="N174" s="2185"/>
    </row>
    <row r="175" spans="1:15">
      <c r="F175" s="2185"/>
      <c r="G175" s="2185"/>
      <c r="H175" s="2185"/>
      <c r="I175" s="2185"/>
      <c r="J175" s="2185"/>
      <c r="K175" s="2185"/>
      <c r="L175" s="2185"/>
      <c r="M175" s="2185"/>
      <c r="N175" s="2185"/>
    </row>
    <row r="176" spans="1:15">
      <c r="F176" s="2185"/>
      <c r="G176" s="2185"/>
      <c r="H176" s="2185"/>
      <c r="I176" s="2185"/>
      <c r="J176" s="2185"/>
      <c r="K176" s="2185"/>
      <c r="L176" s="2185"/>
      <c r="M176" s="2185"/>
      <c r="N176" s="2185"/>
    </row>
    <row r="177" spans="6:14" s="2183" customFormat="1">
      <c r="F177" s="2185"/>
      <c r="G177" s="2185"/>
      <c r="H177" s="2185"/>
      <c r="I177" s="2185"/>
      <c r="J177" s="2185"/>
      <c r="K177" s="2185"/>
      <c r="L177" s="2185"/>
      <c r="M177" s="2185"/>
      <c r="N177" s="2185"/>
    </row>
    <row r="178" spans="6:14" s="2183" customFormat="1">
      <c r="F178" s="2185"/>
      <c r="G178" s="2185"/>
      <c r="H178" s="2185"/>
      <c r="I178" s="2185"/>
      <c r="J178" s="2185"/>
      <c r="K178" s="2185"/>
      <c r="L178" s="2185"/>
      <c r="M178" s="2185"/>
      <c r="N178" s="2185"/>
    </row>
    <row r="179" spans="6:14" s="2183" customFormat="1">
      <c r="F179" s="2185"/>
      <c r="G179" s="2185"/>
      <c r="H179" s="2185"/>
      <c r="I179" s="2185"/>
      <c r="J179" s="2185"/>
      <c r="K179" s="2185"/>
      <c r="L179" s="2185"/>
      <c r="M179" s="2185"/>
      <c r="N179" s="2185"/>
    </row>
    <row r="180" spans="6:14" s="2183" customFormat="1">
      <c r="F180" s="2185"/>
      <c r="G180" s="2185"/>
      <c r="H180" s="2185"/>
      <c r="I180" s="2185"/>
      <c r="J180" s="2185"/>
      <c r="K180" s="2185"/>
      <c r="L180" s="2185"/>
      <c r="M180" s="2185"/>
      <c r="N180" s="2185"/>
    </row>
    <row r="181" spans="6:14" s="2183" customFormat="1">
      <c r="F181" s="2185"/>
      <c r="G181" s="2185"/>
      <c r="H181" s="2185"/>
      <c r="I181" s="2185"/>
      <c r="J181" s="2185"/>
      <c r="K181" s="2185"/>
      <c r="L181" s="2185"/>
      <c r="M181" s="2185"/>
      <c r="N181" s="2185"/>
    </row>
    <row r="182" spans="6:14" s="2183" customFormat="1">
      <c r="F182" s="2185"/>
      <c r="G182" s="2185"/>
      <c r="H182" s="2185"/>
      <c r="I182" s="2185"/>
      <c r="J182" s="2185"/>
      <c r="K182" s="2185"/>
      <c r="L182" s="2185"/>
      <c r="M182" s="2185"/>
      <c r="N182" s="2185"/>
    </row>
    <row r="183" spans="6:14" s="2183" customFormat="1">
      <c r="F183" s="2185"/>
      <c r="G183" s="2185"/>
      <c r="H183" s="2185"/>
      <c r="I183" s="2185"/>
      <c r="J183" s="2185"/>
      <c r="K183" s="2185"/>
      <c r="L183" s="2185"/>
      <c r="M183" s="2185"/>
      <c r="N183" s="2185"/>
    </row>
    <row r="184" spans="6:14" s="2183" customFormat="1">
      <c r="F184" s="2185"/>
      <c r="G184" s="2185"/>
      <c r="H184" s="2185"/>
      <c r="I184" s="2185"/>
      <c r="J184" s="2185"/>
      <c r="K184" s="2185"/>
      <c r="L184" s="2185"/>
      <c r="M184" s="2185"/>
      <c r="N184" s="2185"/>
    </row>
    <row r="185" spans="6:14" s="2183" customFormat="1">
      <c r="F185" s="2185"/>
      <c r="G185" s="2185"/>
      <c r="H185" s="2185"/>
      <c r="I185" s="2185"/>
      <c r="J185" s="2185"/>
      <c r="K185" s="2185"/>
      <c r="L185" s="2185"/>
      <c r="M185" s="2185"/>
      <c r="N185" s="2185"/>
    </row>
  </sheetData>
  <mergeCells count="6">
    <mergeCell ref="F131:L132"/>
    <mergeCell ref="F133:L134"/>
    <mergeCell ref="H11:H12"/>
    <mergeCell ref="O11:O12"/>
    <mergeCell ref="F115:L116"/>
    <mergeCell ref="F117:L118"/>
  </mergeCells>
  <conditionalFormatting sqref="O9:O18">
    <cfRule type="cellIs" dxfId="15" priority="1" stopIfTrue="1" operator="notBetween">
      <formula>-0.05</formula>
      <formula>0.05</formula>
    </cfRule>
  </conditionalFormatting>
  <dataValidations count="2">
    <dataValidation type="list" allowBlank="1" showInputMessage="1" showErrorMessage="1"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"A,D"</formula1>
    </dataValidation>
    <dataValidation type="list" showDropDown="1" showInputMessage="1" showErrorMessage="1" errorTitle="Wrong input" error="Only values &quot;0&quot; and &quot;-29&quot; are allowed_x000a_" sqref="C123 IY123 SU123 ACQ123 AMM123 AWI123 BGE123 BQA123 BZW123 CJS123 CTO123 DDK123 DNG123 DXC123 EGY123 EQU123 FAQ123 FKM123 FUI123 GEE123 GOA123 GXW123 HHS123 HRO123 IBK123 ILG123 IVC123 JEY123 JOU123 JYQ123 KIM123 KSI123 LCE123 LMA123 LVW123 MFS123 MPO123 MZK123 NJG123 NTC123 OCY123 OMU123 OWQ123 PGM123 PQI123 QAE123 QKA123 QTW123 RDS123 RNO123 RXK123 SHG123 SRC123 TAY123 TKU123 TUQ123 UEM123 UOI123 UYE123 VIA123 VRW123 WBS123 WLO123 WVK123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formula1>"0,-29"</formula1>
    </dataValidation>
  </dataValidations>
  <hyperlinks>
    <hyperlink ref="C118" location="LUC!A1" display="LUC!A1"/>
    <hyperlink ref="C134" location="Esca!A1" display="Esca!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sheetPr codeName="Blad18">
    <pageSetUpPr fitToPage="1"/>
  </sheetPr>
  <dimension ref="A1:O176"/>
  <sheetViews>
    <sheetView showGridLines="0" zoomScale="85" zoomScaleNormal="85" zoomScalePageLayoutView="90" workbookViewId="0">
      <selection activeCell="C114" sqref="C114"/>
    </sheetView>
  </sheetViews>
  <sheetFormatPr defaultColWidth="8.85546875" defaultRowHeight="12.75"/>
  <cols>
    <col min="1" max="1" width="35.140625" customWidth="1"/>
    <col min="2" max="2" width="34.42578125" customWidth="1"/>
    <col min="3" max="3" width="28" customWidth="1"/>
    <col min="4" max="4" width="30" customWidth="1"/>
    <col min="5" max="5" width="17.140625" customWidth="1"/>
    <col min="6" max="6" width="20.7109375" customWidth="1"/>
    <col min="7" max="7" width="2.85546875" customWidth="1"/>
    <col min="8" max="8" width="20.42578125" customWidth="1"/>
    <col min="9" max="10" width="13.42578125" customWidth="1"/>
    <col min="11" max="11" width="14.28515625" customWidth="1"/>
    <col min="12" max="12" width="16" customWidth="1"/>
    <col min="13" max="13" width="11" customWidth="1"/>
    <col min="14" max="14" width="19.85546875" customWidth="1"/>
    <col min="15" max="15" width="13.7109375" customWidth="1"/>
    <col min="16" max="16384" width="8.85546875" style="3"/>
  </cols>
  <sheetData>
    <row r="1" spans="1:15" ht="109.5" customHeight="1"/>
    <row r="2" spans="1:15" ht="27.75" customHeight="1">
      <c r="A2" s="3316" t="s">
        <v>81</v>
      </c>
      <c r="B2" s="3317"/>
      <c r="C2" s="3317"/>
      <c r="D2" s="3317"/>
      <c r="E2" s="3317"/>
      <c r="F2" s="3317"/>
      <c r="G2" s="3317"/>
      <c r="H2" s="3317"/>
      <c r="I2" s="3317"/>
      <c r="J2" s="3317"/>
      <c r="K2" s="3317"/>
      <c r="L2" s="3317"/>
      <c r="M2" s="3317"/>
      <c r="N2" s="3317"/>
      <c r="O2" s="3318"/>
    </row>
    <row r="3" spans="1:15" ht="27.75" customHeight="1" thickBot="1">
      <c r="A3" s="3301" t="s">
        <v>772</v>
      </c>
      <c r="B3" s="3302"/>
      <c r="C3" s="3302"/>
      <c r="D3" s="3302"/>
      <c r="E3" s="3302"/>
      <c r="F3" s="3302"/>
      <c r="G3" s="3302"/>
      <c r="H3" s="3302"/>
      <c r="I3" s="3302"/>
      <c r="J3" s="3302"/>
      <c r="K3" s="3302"/>
      <c r="L3" s="3302"/>
      <c r="M3" s="3302"/>
      <c r="N3" s="3302"/>
      <c r="O3" s="3302"/>
    </row>
    <row r="4" spans="1:15" ht="16.5" customHeight="1">
      <c r="A4" s="3166" t="s">
        <v>768</v>
      </c>
      <c r="B4" s="3215" t="s">
        <v>658</v>
      </c>
      <c r="C4" s="3217" t="s">
        <v>769</v>
      </c>
      <c r="D4" s="3217" t="s">
        <v>659</v>
      </c>
      <c r="E4" s="3218" t="s">
        <v>770</v>
      </c>
      <c r="F4" s="3215" t="s">
        <v>771</v>
      </c>
      <c r="G4" s="55"/>
      <c r="H4" s="3188" t="s">
        <v>777</v>
      </c>
      <c r="I4" s="54"/>
      <c r="J4" s="3192" t="s">
        <v>1833</v>
      </c>
      <c r="K4" s="3192"/>
      <c r="L4" s="3191"/>
      <c r="M4" s="11"/>
      <c r="N4" s="3190" t="s">
        <v>778</v>
      </c>
      <c r="O4" s="3191"/>
    </row>
    <row r="5" spans="1:15" ht="26.25" customHeight="1">
      <c r="A5" s="3166"/>
      <c r="B5" s="3216"/>
      <c r="C5" s="3217"/>
      <c r="D5" s="3217"/>
      <c r="E5" s="3218"/>
      <c r="F5" s="3219"/>
      <c r="G5" s="56"/>
      <c r="H5" s="3189"/>
      <c r="I5" s="11"/>
      <c r="J5" s="3303" t="str">
        <f>A54</f>
        <v>Етаноловий завод</v>
      </c>
      <c r="K5" s="3304"/>
      <c r="L5" s="3305"/>
      <c r="M5" s="11"/>
      <c r="N5" s="3182" t="s">
        <v>782</v>
      </c>
      <c r="O5" s="3183"/>
    </row>
    <row r="6" spans="1:15" ht="16.5" customHeight="1">
      <c r="A6" s="1301" t="s">
        <v>773</v>
      </c>
      <c r="B6" s="135"/>
      <c r="C6" s="136"/>
      <c r="D6" s="137"/>
      <c r="E6" s="969">
        <f>IF(F6="A",D7,H6)</f>
        <v>20.167712876062701</v>
      </c>
      <c r="F6" s="968" t="s">
        <v>1486</v>
      </c>
      <c r="G6" s="57"/>
      <c r="H6" s="139">
        <v>20</v>
      </c>
      <c r="I6" s="11"/>
      <c r="J6" s="127">
        <f>F78/F80</f>
        <v>0.54615664300320521</v>
      </c>
      <c r="K6" s="2680" t="s">
        <v>779</v>
      </c>
      <c r="L6" s="128"/>
      <c r="M6" s="11"/>
      <c r="N6" s="389">
        <v>83.8</v>
      </c>
      <c r="O6" s="1144" t="s">
        <v>783</v>
      </c>
    </row>
    <row r="7" spans="1:15" ht="12" customHeight="1">
      <c r="A7" s="140" t="str">
        <f>A19</f>
        <v>Вирощування кукурудзи</v>
      </c>
      <c r="B7" s="93">
        <f>L41</f>
        <v>36.92660912291484</v>
      </c>
      <c r="C7" s="94">
        <f>J6</f>
        <v>0.54615664300320521</v>
      </c>
      <c r="D7" s="21">
        <f>C7*B7</f>
        <v>20.167712876062701</v>
      </c>
      <c r="E7" s="2790"/>
      <c r="F7" s="58"/>
      <c r="G7" s="58"/>
      <c r="H7" s="85">
        <f>20.18</f>
        <v>20.18</v>
      </c>
      <c r="I7" s="11"/>
      <c r="J7" s="129">
        <f>1-J6</f>
        <v>0.45384335699679479</v>
      </c>
      <c r="K7" s="1465" t="s">
        <v>1834</v>
      </c>
      <c r="L7" s="130"/>
      <c r="M7" s="11"/>
      <c r="N7" s="3180" t="s">
        <v>781</v>
      </c>
      <c r="O7" s="3181"/>
    </row>
    <row r="8" spans="1:15" ht="16.5" customHeight="1">
      <c r="A8" s="1301" t="s">
        <v>774</v>
      </c>
      <c r="B8" s="145"/>
      <c r="C8" s="145"/>
      <c r="D8" s="146"/>
      <c r="E8" s="138">
        <f>IF(F8="A",D9,H8)</f>
        <v>21.577369228799146</v>
      </c>
      <c r="F8" s="968" t="s">
        <v>1486</v>
      </c>
      <c r="G8" s="57"/>
      <c r="H8" s="139">
        <v>21</v>
      </c>
      <c r="I8" s="11"/>
      <c r="J8" s="11"/>
      <c r="K8" s="11"/>
      <c r="L8" s="11"/>
      <c r="M8" s="11"/>
      <c r="N8" s="392">
        <f>(N6-E16)/N6</f>
        <v>0.48016777963378221</v>
      </c>
      <c r="O8" s="390"/>
    </row>
    <row r="9" spans="1:15" ht="12" customHeight="1">
      <c r="A9" s="140" t="str">
        <f>A54</f>
        <v>Етаноловий завод</v>
      </c>
      <c r="B9" s="93">
        <f>L72</f>
        <v>39.507656832936327</v>
      </c>
      <c r="C9" s="94">
        <f>J6</f>
        <v>0.54615664300320521</v>
      </c>
      <c r="D9" s="21">
        <f>C9*B9</f>
        <v>21.577369228799146</v>
      </c>
      <c r="E9" s="2790"/>
      <c r="F9" s="58"/>
      <c r="G9" s="58"/>
      <c r="H9" s="85">
        <f>1.4*14.97</f>
        <v>20.957999999999998</v>
      </c>
      <c r="I9" s="11"/>
      <c r="J9" s="11"/>
      <c r="K9" s="11"/>
      <c r="L9" s="11"/>
      <c r="M9" s="11"/>
      <c r="N9" s="11"/>
      <c r="O9" s="378"/>
    </row>
    <row r="10" spans="1:15" ht="16.5" customHeight="1" thickBot="1">
      <c r="A10" s="1301" t="s">
        <v>775</v>
      </c>
      <c r="B10" s="145"/>
      <c r="C10" s="145"/>
      <c r="D10" s="146"/>
      <c r="E10" s="138">
        <f>IF(F10="A",D11+D12+D13, H10)</f>
        <v>1.8168579618271976</v>
      </c>
      <c r="F10" s="968" t="s">
        <v>1486</v>
      </c>
      <c r="G10" s="57"/>
      <c r="H10" s="139">
        <v>2</v>
      </c>
      <c r="I10" s="11"/>
      <c r="J10" s="11"/>
      <c r="K10" s="11"/>
      <c r="L10" s="11"/>
      <c r="M10" s="11"/>
      <c r="N10" s="11"/>
      <c r="O10" s="51"/>
    </row>
    <row r="11" spans="1:15" ht="12" customHeight="1">
      <c r="A11" s="140" t="str">
        <f>A44</f>
        <v>Транспортування кукурудзи</v>
      </c>
      <c r="B11" s="93">
        <f>L51</f>
        <v>0.50651897885324026</v>
      </c>
      <c r="C11" s="94">
        <f>J6</f>
        <v>0.54615664300320521</v>
      </c>
      <c r="D11" s="21">
        <f>C11*B11</f>
        <v>0.27663870510789718</v>
      </c>
      <c r="E11" s="2790"/>
      <c r="F11" s="58"/>
      <c r="G11" s="58"/>
      <c r="H11" s="85">
        <f>0.28</f>
        <v>0.28000000000000003</v>
      </c>
      <c r="I11" s="11"/>
      <c r="J11" s="117" t="s">
        <v>21</v>
      </c>
      <c r="K11" s="118"/>
      <c r="L11" s="118"/>
      <c r="M11" s="118"/>
      <c r="N11" s="381"/>
      <c r="O11" s="379"/>
    </row>
    <row r="12" spans="1:15" ht="12" customHeight="1">
      <c r="A12" s="140" t="str">
        <f>A84</f>
        <v>Транспортування етанолу до та зі складу</v>
      </c>
      <c r="B12" s="93">
        <f>L93</f>
        <v>1.0989339178304116</v>
      </c>
      <c r="C12" s="95">
        <v>1</v>
      </c>
      <c r="D12" s="21">
        <f>C12*B12</f>
        <v>1.0989339178304116</v>
      </c>
      <c r="E12" s="2790"/>
      <c r="F12" s="60"/>
      <c r="G12" s="60"/>
      <c r="H12" s="85">
        <f>1.1</f>
        <v>1.1000000000000001</v>
      </c>
      <c r="I12" s="11"/>
      <c r="J12" s="119"/>
      <c r="K12" s="91"/>
      <c r="L12" s="91"/>
      <c r="M12" s="91"/>
      <c r="N12" s="382"/>
      <c r="O12" s="378"/>
    </row>
    <row r="13" spans="1:15" ht="12" customHeight="1">
      <c r="A13" s="140" t="str">
        <f>A96</f>
        <v>Автозаправна станція</v>
      </c>
      <c r="B13" s="93">
        <f>L101</f>
        <v>0.44128533888888882</v>
      </c>
      <c r="C13" s="95">
        <v>1</v>
      </c>
      <c r="D13" s="21">
        <f>C13*B13</f>
        <v>0.44128533888888882</v>
      </c>
      <c r="E13" s="2790"/>
      <c r="F13" s="60"/>
      <c r="G13" s="60"/>
      <c r="H13" s="85">
        <f>0.44</f>
        <v>0.44</v>
      </c>
      <c r="I13" s="11"/>
      <c r="J13" s="119"/>
      <c r="K13" s="91"/>
      <c r="L13" s="91"/>
      <c r="M13" s="120"/>
      <c r="N13" s="383"/>
      <c r="O13" s="378"/>
    </row>
    <row r="14" spans="1:15" ht="17.25" customHeight="1">
      <c r="A14" s="1197" t="s">
        <v>776</v>
      </c>
      <c r="B14" s="148">
        <f>L117</f>
        <v>0</v>
      </c>
      <c r="C14" s="149">
        <f>J6</f>
        <v>0.54615664300320521</v>
      </c>
      <c r="D14" s="148">
        <f>C14*B14</f>
        <v>0</v>
      </c>
      <c r="E14" s="138">
        <f>D14</f>
        <v>0</v>
      </c>
      <c r="F14" s="61"/>
      <c r="G14" s="61"/>
      <c r="H14" s="151">
        <v>0</v>
      </c>
      <c r="I14" s="11"/>
      <c r="J14" s="119"/>
      <c r="K14" s="91"/>
      <c r="L14" s="91"/>
      <c r="M14" s="92"/>
      <c r="N14" s="384"/>
      <c r="O14" s="380"/>
    </row>
    <row r="15" spans="1:15" ht="16.5" customHeight="1">
      <c r="A15" s="147" t="s">
        <v>1194</v>
      </c>
      <c r="B15" s="148">
        <f>L131+L137+L143</f>
        <v>0</v>
      </c>
      <c r="C15" s="150">
        <v>1</v>
      </c>
      <c r="D15" s="148">
        <f>C15*B15</f>
        <v>0</v>
      </c>
      <c r="E15" s="138">
        <f>D15</f>
        <v>0</v>
      </c>
      <c r="F15" s="61"/>
      <c r="G15" s="61"/>
      <c r="H15" s="151">
        <v>0</v>
      </c>
      <c r="I15" s="11"/>
      <c r="J15" s="119"/>
      <c r="K15" s="91"/>
      <c r="L15" s="91"/>
      <c r="M15" s="92"/>
      <c r="N15" s="384"/>
      <c r="O15" s="380"/>
    </row>
    <row r="16" spans="1:15" ht="16.5" customHeight="1" thickBot="1">
      <c r="A16" s="1198" t="s">
        <v>770</v>
      </c>
      <c r="B16" s="152">
        <f>SUM(B7:B14)-B15</f>
        <v>78.481004191423708</v>
      </c>
      <c r="C16" s="153"/>
      <c r="D16" s="153"/>
      <c r="E16" s="154">
        <f>SUM(E6:E14)-E15</f>
        <v>43.561940066689047</v>
      </c>
      <c r="F16" s="62"/>
      <c r="G16" s="62"/>
      <c r="H16" s="155">
        <v>43</v>
      </c>
      <c r="I16" s="22"/>
      <c r="J16" s="385" t="s">
        <v>686</v>
      </c>
      <c r="K16" s="386"/>
      <c r="L16" s="386"/>
      <c r="M16" s="387"/>
      <c r="N16" s="388"/>
      <c r="O16" s="208"/>
    </row>
    <row r="17" spans="1:15" ht="16.5" customHeight="1">
      <c r="A17" s="2686" t="s">
        <v>1693</v>
      </c>
      <c r="B17" s="157"/>
      <c r="E17" s="2699" t="s">
        <v>1716</v>
      </c>
      <c r="F17" s="1187"/>
      <c r="G17" s="1187"/>
      <c r="H17" s="1146"/>
      <c r="I17" s="1188"/>
      <c r="J17" s="1299"/>
      <c r="K17" s="91"/>
      <c r="L17" s="1186"/>
      <c r="M17" s="91"/>
      <c r="N17" s="91"/>
      <c r="O17" s="1300"/>
    </row>
    <row r="18" spans="1:15" ht="18.75" customHeight="1" thickBot="1">
      <c r="A18" s="1389" t="s">
        <v>1568</v>
      </c>
      <c r="B18" s="22"/>
      <c r="E18" s="1391" t="s">
        <v>660</v>
      </c>
      <c r="F18" s="1392"/>
      <c r="G18" s="1392"/>
      <c r="H18" s="1392"/>
      <c r="I18" s="386"/>
      <c r="J18" s="1393"/>
      <c r="K18" s="1393"/>
      <c r="L18" s="1394"/>
      <c r="M18" s="957"/>
      <c r="N18" s="957"/>
      <c r="O18" s="958"/>
    </row>
    <row r="19" spans="1:15" ht="15.75">
      <c r="A19" s="954" t="s">
        <v>609</v>
      </c>
      <c r="B19" s="159"/>
      <c r="C19" s="159"/>
      <c r="D19" s="159"/>
      <c r="E19" s="3308" t="s">
        <v>787</v>
      </c>
      <c r="F19" s="3310"/>
      <c r="G19" s="3310"/>
      <c r="H19" s="3310"/>
      <c r="I19" s="3223" t="s">
        <v>788</v>
      </c>
      <c r="J19" s="3179"/>
      <c r="K19" s="3179"/>
      <c r="L19" s="3324"/>
      <c r="M19" s="116"/>
      <c r="N19" s="3308" t="s">
        <v>789</v>
      </c>
      <c r="O19" s="3309"/>
    </row>
    <row r="20" spans="1:15" ht="15.75">
      <c r="A20" s="3281" t="s">
        <v>807</v>
      </c>
      <c r="B20" s="3282"/>
      <c r="C20" s="3282"/>
      <c r="D20" s="3283"/>
      <c r="E20" s="1324" t="s">
        <v>807</v>
      </c>
      <c r="F20" s="39"/>
      <c r="G20" s="39"/>
      <c r="H20" s="38"/>
      <c r="I20" s="3294" t="s">
        <v>633</v>
      </c>
      <c r="J20" s="3295"/>
      <c r="K20" s="3295"/>
      <c r="L20" s="3296"/>
      <c r="M20" s="50"/>
      <c r="N20" s="126" t="s">
        <v>616</v>
      </c>
      <c r="O20" s="126" t="s">
        <v>662</v>
      </c>
    </row>
    <row r="21" spans="1:15" ht="15.75">
      <c r="A21" s="1395" t="s">
        <v>610</v>
      </c>
      <c r="B21" s="75" t="s">
        <v>1435</v>
      </c>
      <c r="C21" s="1216">
        <v>3883.306836248013</v>
      </c>
      <c r="D21" s="1206" t="s">
        <v>696</v>
      </c>
      <c r="E21" s="97">
        <f>C21*(1-C22)*VLOOKUP($B21,'Standard values'!$C$9:$S$159,14, FALSE)</f>
        <v>61065</v>
      </c>
      <c r="F21" s="1148" t="s">
        <v>613</v>
      </c>
      <c r="G21" s="9"/>
      <c r="H21" s="37"/>
      <c r="I21" s="1322" t="s">
        <v>709</v>
      </c>
      <c r="J21" s="1322" t="s">
        <v>710</v>
      </c>
      <c r="K21" s="1323" t="s">
        <v>711</v>
      </c>
      <c r="L21" s="1323" t="s">
        <v>716</v>
      </c>
      <c r="M21" s="22"/>
      <c r="N21" s="1323" t="s">
        <v>716</v>
      </c>
      <c r="O21" s="1323" t="s">
        <v>673</v>
      </c>
    </row>
    <row r="22" spans="1:15" ht="15.75">
      <c r="A22" s="1396" t="s">
        <v>785</v>
      </c>
      <c r="B22" s="75" t="s">
        <v>1425</v>
      </c>
      <c r="C22" s="1217">
        <v>0.15</v>
      </c>
      <c r="D22" s="29"/>
      <c r="E22" s="109">
        <v>1</v>
      </c>
      <c r="F22" s="1148" t="s">
        <v>614</v>
      </c>
      <c r="G22" s="79"/>
      <c r="H22" s="9"/>
      <c r="I22" s="1316"/>
      <c r="J22" s="1317"/>
      <c r="K22" s="31"/>
      <c r="L22" s="31"/>
      <c r="M22" s="22"/>
      <c r="N22" s="75"/>
      <c r="O22" s="75"/>
    </row>
    <row r="23" spans="1:15" ht="15.75">
      <c r="A23" s="2704" t="s">
        <v>1715</v>
      </c>
      <c r="B23" s="75" t="s">
        <v>1197</v>
      </c>
      <c r="C23" s="1219"/>
      <c r="D23" s="1206" t="s">
        <v>696</v>
      </c>
      <c r="E23" s="111">
        <f>C21/E148</f>
        <v>0.12454121322908471</v>
      </c>
      <c r="F23" s="1148" t="s">
        <v>615</v>
      </c>
      <c r="G23" s="79"/>
      <c r="H23" s="9"/>
      <c r="I23" s="1318"/>
      <c r="J23" s="1318"/>
      <c r="K23" s="32"/>
      <c r="L23" s="32"/>
      <c r="M23" s="22"/>
      <c r="N23" s="75"/>
      <c r="O23" s="75"/>
    </row>
    <row r="24" spans="1:15">
      <c r="A24" s="1395"/>
      <c r="B24" s="75"/>
      <c r="C24" s="1218"/>
      <c r="D24" s="29"/>
      <c r="E24" s="111"/>
      <c r="F24" s="79"/>
      <c r="G24" s="79"/>
      <c r="H24" s="9"/>
      <c r="I24" s="1318"/>
      <c r="J24" s="1318"/>
      <c r="K24" s="32"/>
      <c r="L24" s="32"/>
      <c r="M24" s="22"/>
      <c r="N24" s="75"/>
      <c r="O24" s="75"/>
    </row>
    <row r="25" spans="1:15">
      <c r="A25" s="1395" t="s">
        <v>688</v>
      </c>
      <c r="B25" s="1207" t="s">
        <v>1429</v>
      </c>
      <c r="C25" s="1218"/>
      <c r="D25" s="29"/>
      <c r="E25" s="13"/>
      <c r="F25" s="9"/>
      <c r="G25" s="9"/>
      <c r="H25" s="9"/>
      <c r="I25" s="1318"/>
      <c r="J25" s="1318"/>
      <c r="K25" s="32"/>
      <c r="L25" s="32"/>
      <c r="M25" s="22"/>
      <c r="N25" s="75"/>
      <c r="O25" s="75"/>
    </row>
    <row r="26" spans="1:15" ht="14.25">
      <c r="A26" s="1396" t="s">
        <v>689</v>
      </c>
      <c r="B26" s="75" t="s">
        <v>1413</v>
      </c>
      <c r="C26" s="1399">
        <v>3600</v>
      </c>
      <c r="D26" s="1206" t="s">
        <v>668</v>
      </c>
      <c r="E26" s="36"/>
      <c r="F26" s="9"/>
      <c r="G26" s="9"/>
      <c r="H26" s="9"/>
      <c r="I26" s="1317">
        <f>$C26*VLOOKUP($B26,'Standard values'!$C$9:$S$159,7, FALSE)/$E$148</f>
        <v>10.118374475847558</v>
      </c>
      <c r="J26" s="1317">
        <f>$C26*VLOOKUP($B26,'Standard values'!$C$9:$S$159,8, FALSE)/$E$148</f>
        <v>0</v>
      </c>
      <c r="K26" s="31">
        <f>$C26*VLOOKUP($B26,'Standard values'!$C$9:$S$159,9, FALSE)/$E$148</f>
        <v>0</v>
      </c>
      <c r="L26" s="31">
        <f>I26*'Standard values'!$D$10+J26*'Standard values'!$D$11+K26*'Standard values'!$D$12</f>
        <v>10.118374475847558</v>
      </c>
      <c r="M26" s="22"/>
      <c r="N26" s="114">
        <f>+L26/E$23</f>
        <v>81.245189552116599</v>
      </c>
      <c r="O26" s="115">
        <f>L26*$E$148/1000</f>
        <v>315.5</v>
      </c>
    </row>
    <row r="27" spans="1:15">
      <c r="A27" s="1395"/>
      <c r="B27" s="75"/>
      <c r="C27" s="1218"/>
      <c r="D27" s="29"/>
      <c r="E27" s="36"/>
      <c r="F27" s="9"/>
      <c r="G27" s="9"/>
      <c r="H27" s="9"/>
      <c r="I27" s="1317"/>
      <c r="J27" s="1317"/>
      <c r="K27" s="31"/>
      <c r="L27" s="31"/>
      <c r="M27" s="22"/>
      <c r="N27" s="114"/>
      <c r="O27" s="115"/>
    </row>
    <row r="28" spans="1:15">
      <c r="A28" s="1395" t="s">
        <v>666</v>
      </c>
      <c r="B28" s="1207" t="s">
        <v>1449</v>
      </c>
      <c r="C28" s="1218"/>
      <c r="D28" s="29"/>
      <c r="E28" s="36"/>
      <c r="F28" s="9"/>
      <c r="G28" s="9"/>
      <c r="H28" s="9"/>
      <c r="I28" s="1317"/>
      <c r="J28" s="1317"/>
      <c r="K28" s="31"/>
      <c r="L28" s="31"/>
      <c r="M28" s="22"/>
      <c r="N28" s="114"/>
      <c r="O28" s="115"/>
    </row>
    <row r="29" spans="1:15" ht="14.25">
      <c r="A29" s="1396" t="s">
        <v>611</v>
      </c>
      <c r="B29" s="75" t="s">
        <v>980</v>
      </c>
      <c r="C29" s="1400">
        <v>51.7</v>
      </c>
      <c r="D29" s="1213" t="s">
        <v>698</v>
      </c>
      <c r="E29" s="36"/>
      <c r="F29" s="9"/>
      <c r="G29" s="9"/>
      <c r="H29" s="9"/>
      <c r="I29" s="1317">
        <f>$C29*VLOOKUP($B29,'Standard values'!$C$9:$S$159,3, FALSE)/$E$148</f>
        <v>4.68736193769361</v>
      </c>
      <c r="J29" s="1317">
        <f>$C29*VLOOKUP($B29,'Standard values'!$C$9:$S$159,4, FALSE)/$E$148</f>
        <v>1.43900269804468E-2</v>
      </c>
      <c r="K29" s="31">
        <f>$C29*VLOOKUP($B29,'Standard values'!$C$9:$S$159,5, FALSE)/$E$148</f>
        <v>1.5986744957836561E-2</v>
      </c>
      <c r="L29" s="31">
        <f>I29*'Standard values'!$D$10+J29*'Standard values'!$D$11+K29*'Standard values'!$D$12</f>
        <v>9.8111626096400748</v>
      </c>
      <c r="M29" s="22"/>
      <c r="N29" s="114">
        <f>+L29/E$23</f>
        <v>78.778440929374426</v>
      </c>
      <c r="O29" s="115">
        <f>L29*$E$148/1000</f>
        <v>305.92085820999995</v>
      </c>
    </row>
    <row r="30" spans="1:15" ht="14.25">
      <c r="A30" s="1222" t="s">
        <v>691</v>
      </c>
      <c r="B30" s="75" t="s">
        <v>983</v>
      </c>
      <c r="C30" s="1401">
        <v>1600</v>
      </c>
      <c r="D30" s="1213" t="s">
        <v>701</v>
      </c>
      <c r="E30" s="36"/>
      <c r="F30" s="9"/>
      <c r="G30" s="9"/>
      <c r="H30" s="9"/>
      <c r="I30" s="1317">
        <f>$C30*VLOOKUP($B30,'Standard values'!$C$9:$S$159,3, FALSE)/$E$148</f>
        <v>6.1122550570652692</v>
      </c>
      <c r="J30" s="1317">
        <f>$C30*VLOOKUP($B30,'Standard values'!$C$9:$S$159,4, FALSE)/$E$148</f>
        <v>1.1078577746233852E-2</v>
      </c>
      <c r="K30" s="31">
        <f>$C30*VLOOKUP($B30,'Standard values'!$C$9:$S$159,5, FALSE)/$E$148</f>
        <v>9.3903646482667669E-4</v>
      </c>
      <c r="L30" s="31">
        <f>I30*'Standard values'!$D$10+J30*'Standard values'!$D$11+K30*'Standard values'!$D$12</f>
        <v>6.6690523672394644</v>
      </c>
      <c r="M30" s="22"/>
      <c r="N30" s="114">
        <f>+L30/E$23</f>
        <v>53.548959371161871</v>
      </c>
      <c r="O30" s="115">
        <f>L30*$E$148/1000</f>
        <v>207.94703999999999</v>
      </c>
    </row>
    <row r="31" spans="1:15" ht="15.75">
      <c r="A31" s="1396" t="s">
        <v>692</v>
      </c>
      <c r="B31" s="75" t="s">
        <v>982</v>
      </c>
      <c r="C31" s="1400">
        <v>25.8</v>
      </c>
      <c r="D31" s="1213" t="s">
        <v>699</v>
      </c>
      <c r="E31" s="36"/>
      <c r="F31" s="9"/>
      <c r="G31" s="9"/>
      <c r="H31" s="9"/>
      <c r="I31" s="1317">
        <f>$C31*VLOOKUP($B31,'Standard values'!$C$9:$S$159,3, FALSE)/$E$148</f>
        <v>0.44375955201050354</v>
      </c>
      <c r="J31" s="1317">
        <f>$C31*VLOOKUP($B31,'Standard values'!$C$9:$S$159,4, FALSE)/$E$148</f>
        <v>1.2998092715499536E-3</v>
      </c>
      <c r="K31" s="31">
        <f>$C31*VLOOKUP($B31,'Standard values'!$C$9:$S$159,5, FALSE)/$E$148</f>
        <v>1.0177384964074371E-5</v>
      </c>
      <c r="L31" s="31">
        <f>I31*'Standard values'!$D$10+J31*'Standard values'!$D$11+K31*'Standard values'!$D$12</f>
        <v>0.47928764451854655</v>
      </c>
      <c r="M31" s="22"/>
      <c r="N31" s="114">
        <f>+L31/E$23</f>
        <v>3.8484260116924589</v>
      </c>
      <c r="O31" s="115">
        <f>L31*$E$148/1000</f>
        <v>14.944619040000001</v>
      </c>
    </row>
    <row r="32" spans="1:15" ht="15.75">
      <c r="A32" s="1396" t="s">
        <v>693</v>
      </c>
      <c r="B32" s="75" t="s">
        <v>981</v>
      </c>
      <c r="C32" s="1400">
        <v>34.5</v>
      </c>
      <c r="D32" s="1213" t="s">
        <v>700</v>
      </c>
      <c r="E32" s="36"/>
      <c r="F32" s="9"/>
      <c r="G32" s="9"/>
      <c r="H32" s="9"/>
      <c r="I32" s="1317">
        <f>$C32*VLOOKUP($B32,'Standard values'!$C$9:$S$159,3, FALSE)/$E$148</f>
        <v>1.0675954396586402</v>
      </c>
      <c r="J32" s="1317">
        <f>$C32*VLOOKUP($B32,'Standard values'!$C$9:$S$159,4, FALSE)/$E$148</f>
        <v>1.4726804968104024E-3</v>
      </c>
      <c r="K32" s="31">
        <f>$C32*VLOOKUP($B32,'Standard values'!$C$9:$S$159,5, FALSE)/$E$148</f>
        <v>5.6982002694016313E-5</v>
      </c>
      <c r="L32" s="31">
        <f>I32*'Standard values'!$D$10+J32*'Standard values'!$D$11+K32*'Standard values'!$D$12</f>
        <v>1.1213930888817172</v>
      </c>
      <c r="M32" s="22"/>
      <c r="N32" s="114">
        <f>+L32/E$23</f>
        <v>9.0041927471751411</v>
      </c>
      <c r="O32" s="115">
        <f>L32*$E$148/1000</f>
        <v>34.966043249999998</v>
      </c>
    </row>
    <row r="33" spans="1:15" ht="14.25">
      <c r="A33" s="1396" t="s">
        <v>694</v>
      </c>
      <c r="B33" s="75" t="s">
        <v>1410</v>
      </c>
      <c r="C33" s="1400">
        <v>2.4</v>
      </c>
      <c r="D33" s="1213" t="s">
        <v>696</v>
      </c>
      <c r="E33" s="36"/>
      <c r="F33" s="15"/>
      <c r="G33" s="15"/>
      <c r="H33" s="15"/>
      <c r="I33" s="1317">
        <f>$C33*VLOOKUP($B33,'Standard values'!$C$9:$S$159,3, FALSE)/$E$148</f>
        <v>0.76096605635916958</v>
      </c>
      <c r="J33" s="1317">
        <f>$C33*VLOOKUP($B33,'Standard values'!$C$9:$S$159,4, FALSE)/$E$148</f>
        <v>1.9648260443669721E-3</v>
      </c>
      <c r="K33" s="31">
        <f>$C33*VLOOKUP($B33,'Standard values'!$C$9:$S$159,5, FALSE)/$E$148</f>
        <v>1.2941769770160444E-4</v>
      </c>
      <c r="L33" s="31">
        <f>I33*'Standard values'!$D$10+J33*'Standard values'!$D$11+K33*'Standard values'!$D$12</f>
        <v>0.84865318138342205</v>
      </c>
      <c r="M33" s="22"/>
      <c r="N33" s="114">
        <f>+L33/E$23</f>
        <v>6.8142357006141001</v>
      </c>
      <c r="O33" s="115">
        <f>L33*$E$148/1000</f>
        <v>26.461768080000002</v>
      </c>
    </row>
    <row r="34" spans="1:15">
      <c r="A34" s="1398"/>
      <c r="B34" s="75"/>
      <c r="C34" s="1402"/>
      <c r="D34" s="29"/>
      <c r="E34" s="36"/>
      <c r="F34" s="15"/>
      <c r="G34" s="15"/>
      <c r="H34" s="15"/>
      <c r="I34" s="1317"/>
      <c r="J34" s="1317"/>
      <c r="K34" s="31"/>
      <c r="L34" s="31"/>
      <c r="M34" s="22"/>
      <c r="N34" s="114"/>
      <c r="O34" s="115"/>
    </row>
    <row r="35" spans="1:15">
      <c r="A35" s="1395" t="s">
        <v>518</v>
      </c>
      <c r="B35" s="1207" t="s">
        <v>1415</v>
      </c>
      <c r="C35" s="1402"/>
      <c r="D35" s="29"/>
      <c r="E35" s="36"/>
      <c r="F35" s="9"/>
      <c r="G35" s="9"/>
      <c r="H35" s="15"/>
      <c r="I35" s="1317"/>
      <c r="J35" s="1317"/>
      <c r="K35" s="31"/>
      <c r="L35" s="31"/>
      <c r="M35" s="22"/>
      <c r="N35" s="114"/>
      <c r="O35" s="115"/>
    </row>
    <row r="36" spans="1:15" ht="14.25">
      <c r="A36" s="1396" t="s">
        <v>612</v>
      </c>
      <c r="B36" s="569" t="s">
        <v>1468</v>
      </c>
      <c r="C36" s="1401"/>
      <c r="D36" s="1206" t="s">
        <v>696</v>
      </c>
      <c r="E36" s="36"/>
      <c r="F36" s="9"/>
      <c r="G36" s="9"/>
      <c r="H36" s="9"/>
      <c r="I36" s="1317">
        <f>$C36*VLOOKUP($B36,'Standard values'!$C$9:$S$159,3, FALSE)/$E$148</f>
        <v>0</v>
      </c>
      <c r="J36" s="1317">
        <f>$C36*VLOOKUP($B36,'Standard values'!$C$9:$S$159,4, FALSE)/$E$148</f>
        <v>0</v>
      </c>
      <c r="K36" s="31">
        <f>$C36*VLOOKUP($B36,'Standard values'!$C$9:$S$159,5, FALSE)/$E$148</f>
        <v>0</v>
      </c>
      <c r="L36" s="31">
        <f>I36*'Standard values'!$D$10+J36*'Standard values'!$D$11+K36*'Standard values'!$D$12</f>
        <v>0</v>
      </c>
      <c r="M36" s="22"/>
      <c r="N36" s="114">
        <f>+L36/E$23</f>
        <v>0</v>
      </c>
      <c r="O36" s="115">
        <f>L36*$E$148/1000</f>
        <v>0</v>
      </c>
    </row>
    <row r="37" spans="1:15">
      <c r="A37" s="1395"/>
      <c r="B37" s="1207"/>
      <c r="C37" s="1402"/>
      <c r="D37" s="29"/>
      <c r="E37" s="36"/>
      <c r="F37" s="9"/>
      <c r="G37" s="9"/>
      <c r="H37" s="9"/>
      <c r="I37" s="1317"/>
      <c r="J37" s="1317"/>
      <c r="K37" s="31"/>
      <c r="L37" s="31"/>
      <c r="M37" s="22"/>
      <c r="N37" s="114"/>
      <c r="O37" s="115"/>
    </row>
    <row r="38" spans="1:15" ht="15">
      <c r="A38" s="1395" t="s">
        <v>1694</v>
      </c>
      <c r="B38" s="1207" t="s">
        <v>1450</v>
      </c>
      <c r="C38" s="1403">
        <v>0.82437749999999999</v>
      </c>
      <c r="D38" s="1206" t="s">
        <v>696</v>
      </c>
      <c r="E38" s="36"/>
      <c r="F38" s="9"/>
      <c r="G38" s="9"/>
      <c r="H38" s="9"/>
      <c r="I38" s="1317">
        <v>0</v>
      </c>
      <c r="J38" s="1317">
        <v>0</v>
      </c>
      <c r="K38" s="31">
        <f>1000*$C38/$E$148</f>
        <v>2.6438542803369318E-2</v>
      </c>
      <c r="L38" s="31">
        <f>I38*'Standard values'!$D$10+J38*'Standard values'!$D$11+K38*'Standard values'!$D$12</f>
        <v>7.8786857554040566</v>
      </c>
      <c r="M38" s="22"/>
      <c r="N38" s="114">
        <f>+L38/E$23</f>
        <v>63.261674999999997</v>
      </c>
      <c r="O38" s="115">
        <f>L38*$E$148/1000</f>
        <v>245.66449499999999</v>
      </c>
    </row>
    <row r="39" spans="1:15">
      <c r="A39" s="1397"/>
      <c r="B39" s="10"/>
      <c r="C39" s="20"/>
      <c r="D39" s="9"/>
      <c r="E39" s="36"/>
      <c r="F39" s="18"/>
      <c r="G39" s="18"/>
      <c r="H39" s="1406" t="s">
        <v>770</v>
      </c>
      <c r="I39" s="1151">
        <f>SUM(I22:I38)</f>
        <v>23.190312518634752</v>
      </c>
      <c r="J39" s="1151">
        <f>SUM(J22:J38)</f>
        <v>3.0205920539407981E-2</v>
      </c>
      <c r="K39" s="1151">
        <f>SUM(K22:K38)</f>
        <v>4.3560901311392251E-2</v>
      </c>
      <c r="L39" s="1151">
        <f>I39*'Standard values'!$D$10+J39*'Standard values'!$D$11+K39*'Standard values'!$D$12</f>
        <v>36.92660912291484</v>
      </c>
      <c r="M39" s="22"/>
      <c r="N39" s="2787">
        <f>+L39/E$23</f>
        <v>296.50111931213462</v>
      </c>
      <c r="O39" s="1326">
        <f>L39*$E$148/1000</f>
        <v>1151.4048235800001</v>
      </c>
    </row>
    <row r="40" spans="1:15">
      <c r="A40" s="1397"/>
      <c r="B40" s="10"/>
      <c r="C40" s="20"/>
      <c r="D40" s="9"/>
      <c r="E40" s="36"/>
      <c r="F40" s="18"/>
      <c r="G40" s="18"/>
      <c r="H40" s="18"/>
      <c r="I40" s="1320"/>
      <c r="J40" s="1320"/>
      <c r="K40" s="33"/>
      <c r="L40" s="33"/>
      <c r="M40" s="22"/>
      <c r="N40" s="437"/>
      <c r="O40" s="437"/>
    </row>
    <row r="41" spans="1:15" ht="14.25">
      <c r="A41" s="161"/>
      <c r="B41" s="162"/>
      <c r="C41" s="162"/>
      <c r="D41" s="162"/>
      <c r="E41" s="161"/>
      <c r="F41" s="163"/>
      <c r="G41" s="163"/>
      <c r="H41" s="1404" t="s">
        <v>792</v>
      </c>
      <c r="I41" s="3325" t="s">
        <v>663</v>
      </c>
      <c r="J41" s="3325"/>
      <c r="K41" s="3325"/>
      <c r="L41" s="1405">
        <f>L39</f>
        <v>36.92660912291484</v>
      </c>
      <c r="M41" s="22"/>
      <c r="N41" s="22"/>
      <c r="O41" s="22"/>
    </row>
    <row r="42" spans="1:15">
      <c r="A42" s="22"/>
      <c r="B42" s="22"/>
      <c r="C42" s="22"/>
      <c r="D42" s="22"/>
      <c r="E42" s="22"/>
      <c r="F42" s="47"/>
      <c r="G42" s="47"/>
      <c r="H42" s="47"/>
      <c r="I42" s="48"/>
      <c r="J42" s="49"/>
      <c r="K42" s="50"/>
      <c r="L42" s="51"/>
      <c r="M42" s="22"/>
      <c r="N42" s="11"/>
      <c r="O42" s="11"/>
    </row>
    <row r="43" spans="1:15" ht="13.5" thickBot="1">
      <c r="A43" s="11"/>
      <c r="B43" s="11"/>
      <c r="C43" s="11"/>
      <c r="D43" s="11"/>
      <c r="E43" s="11"/>
      <c r="F43" s="11"/>
      <c r="G43" s="11"/>
      <c r="H43" s="11"/>
      <c r="I43" s="25"/>
      <c r="J43" s="25"/>
      <c r="K43" s="25"/>
      <c r="L43" s="25"/>
      <c r="M43" s="22"/>
      <c r="N43" s="11"/>
      <c r="O43" s="11"/>
    </row>
    <row r="44" spans="1:15" ht="15.75">
      <c r="A44" s="168" t="s">
        <v>617</v>
      </c>
      <c r="B44" s="169"/>
      <c r="C44" s="169"/>
      <c r="D44" s="169"/>
      <c r="E44" s="3200" t="s">
        <v>800</v>
      </c>
      <c r="F44" s="3198"/>
      <c r="G44" s="3198"/>
      <c r="H44" s="3198"/>
      <c r="I44" s="3200" t="s">
        <v>788</v>
      </c>
      <c r="J44" s="3198"/>
      <c r="K44" s="3198"/>
      <c r="L44" s="3199"/>
      <c r="M44" s="22"/>
      <c r="N44" s="1152" t="s">
        <v>789</v>
      </c>
      <c r="O44" s="11"/>
    </row>
    <row r="45" spans="1:15" ht="15.75">
      <c r="A45" s="1407" t="s">
        <v>610</v>
      </c>
      <c r="B45" s="10" t="s">
        <v>1435</v>
      </c>
      <c r="C45" s="202">
        <v>0.99009900990099009</v>
      </c>
      <c r="D45" s="1148" t="s">
        <v>618</v>
      </c>
      <c r="E45" s="99">
        <f>E21*C45</f>
        <v>60460.396039603962</v>
      </c>
      <c r="F45" s="1148" t="s">
        <v>619</v>
      </c>
      <c r="G45" s="125"/>
      <c r="H45" s="9"/>
      <c r="I45" s="3294" t="s">
        <v>633</v>
      </c>
      <c r="J45" s="3295"/>
      <c r="K45" s="3295"/>
      <c r="L45" s="3296"/>
      <c r="M45" s="22"/>
      <c r="N45" s="1284" t="s">
        <v>616</v>
      </c>
      <c r="O45" s="11"/>
    </row>
    <row r="46" spans="1:15" ht="15.75">
      <c r="A46" s="3319" t="s">
        <v>722</v>
      </c>
      <c r="B46" s="3321" t="s">
        <v>1407</v>
      </c>
      <c r="C46" s="9"/>
      <c r="D46" s="9"/>
      <c r="E46" s="109">
        <f>E22*C45</f>
        <v>0.99009900990099009</v>
      </c>
      <c r="F46" s="1148" t="s">
        <v>620</v>
      </c>
      <c r="G46" s="79"/>
      <c r="H46" s="9"/>
      <c r="I46" s="553" t="s">
        <v>1453</v>
      </c>
      <c r="J46" s="553" t="s">
        <v>1454</v>
      </c>
      <c r="K46" s="74" t="s">
        <v>1455</v>
      </c>
      <c r="L46" s="74" t="s">
        <v>1456</v>
      </c>
      <c r="M46" s="22"/>
      <c r="N46" s="3177" t="s">
        <v>622</v>
      </c>
      <c r="O46" s="11"/>
    </row>
    <row r="47" spans="1:15">
      <c r="A47" s="3319"/>
      <c r="B47" s="3321"/>
      <c r="C47" s="9"/>
      <c r="D47" s="9"/>
      <c r="E47" s="109"/>
      <c r="F47" s="79"/>
      <c r="G47" s="79"/>
      <c r="H47" s="9"/>
      <c r="I47" s="553"/>
      <c r="J47" s="553"/>
      <c r="K47" s="74"/>
      <c r="L47" s="74"/>
      <c r="M47" s="22"/>
      <c r="N47" s="3178"/>
      <c r="O47" s="11"/>
    </row>
    <row r="48" spans="1:15" ht="26.25" thickBot="1">
      <c r="A48" s="1408" t="s">
        <v>702</v>
      </c>
      <c r="B48" s="1409" t="s">
        <v>1360</v>
      </c>
      <c r="C48" s="421">
        <v>50</v>
      </c>
      <c r="D48" s="1148" t="s">
        <v>704</v>
      </c>
      <c r="E48" s="110">
        <f>(C48*E46)/(VLOOKUP($B45,'Standard values'!$C$9:$S$159,14, FALSE))/(1-$C$22)/1000</f>
        <v>3.1481685529443247E-3</v>
      </c>
      <c r="F48" s="1148" t="s">
        <v>621</v>
      </c>
      <c r="G48" s="9"/>
      <c r="H48" s="9"/>
      <c r="I48" s="1235">
        <f>$E48*VLOOKUP($B48,'Standard values'!$C$9:$S$159,15, FALSE)*VLOOKUP(C49,'Standard values'!$C$9:$S$159,7, FALSE)/$E$149</f>
        <v>0.50574830302880291</v>
      </c>
      <c r="J48" s="1235">
        <f>$E48*((VLOOKUP($B48,'Standard values'!$C$9:$S$159,15, FALSE)*VLOOKUP(C49,'Standard values'!$C$9:$S$159,8, FALSE))+VLOOKUP($B48,'Standard values'!$C$9:$S$159,16, FALSE))/$E$149</f>
        <v>3.0827032977496217E-5</v>
      </c>
      <c r="K48" s="81">
        <f>$E48*((VLOOKUP($B48,'Standard values'!$C$9:$S$159,15, FALSE)*VLOOKUP(C49,'Standard values'!$C$9:$S$159,9, FALSE))+VLOOKUP($B48,'Standard values'!$C$9:$S$159,17, FALSE))/$E$149</f>
        <v>0</v>
      </c>
      <c r="L48" s="106">
        <f>I48*'Standard values'!$D$10+J48*'Standard values'!$D$11+K48*'Standard values'!$D$12</f>
        <v>0.50651897885324026</v>
      </c>
      <c r="M48" s="22"/>
      <c r="N48" s="2789">
        <f>+L48/E23</f>
        <v>4.0670792079207914</v>
      </c>
      <c r="O48" s="11"/>
    </row>
    <row r="49" spans="1:15">
      <c r="A49" s="3319" t="s">
        <v>703</v>
      </c>
      <c r="B49" s="3320" t="s">
        <v>1374</v>
      </c>
      <c r="C49" s="3322" t="s">
        <v>1413</v>
      </c>
      <c r="D49" s="9"/>
      <c r="E49" s="110"/>
      <c r="F49" s="9"/>
      <c r="G49" s="9"/>
      <c r="H49" s="9"/>
      <c r="I49" s="1235"/>
      <c r="J49" s="1235"/>
      <c r="K49" s="81"/>
      <c r="L49" s="106"/>
      <c r="M49" s="22"/>
      <c r="N49" s="11"/>
      <c r="O49" s="11"/>
    </row>
    <row r="50" spans="1:15">
      <c r="A50" s="3319"/>
      <c r="B50" s="3320"/>
      <c r="C50" s="3323"/>
      <c r="D50" s="9"/>
      <c r="E50" s="13"/>
      <c r="F50" s="9"/>
      <c r="G50" s="9"/>
      <c r="H50" s="77"/>
      <c r="I50" s="1235"/>
      <c r="J50" s="1235"/>
      <c r="K50" s="81"/>
      <c r="L50" s="106"/>
      <c r="M50" s="22"/>
      <c r="N50" s="11"/>
      <c r="O50" s="11"/>
    </row>
    <row r="51" spans="1:15" ht="14.25">
      <c r="A51" s="161"/>
      <c r="B51" s="162"/>
      <c r="C51" s="162"/>
      <c r="D51" s="162"/>
      <c r="E51" s="161"/>
      <c r="F51" s="163"/>
      <c r="G51" s="163"/>
      <c r="H51" s="1404" t="s">
        <v>792</v>
      </c>
      <c r="I51" s="1132"/>
      <c r="J51" s="1410" t="s">
        <v>574</v>
      </c>
      <c r="K51" s="1411"/>
      <c r="L51" s="1405">
        <f>L48</f>
        <v>0.50651897885324026</v>
      </c>
      <c r="M51" s="22"/>
      <c r="N51" s="11"/>
      <c r="O51" s="11"/>
    </row>
    <row r="52" spans="1:15">
      <c r="A52" s="11"/>
      <c r="B52" s="11"/>
      <c r="C52" s="11"/>
      <c r="D52" s="11"/>
      <c r="E52" s="11"/>
      <c r="F52" s="43"/>
      <c r="G52" s="43"/>
      <c r="H52" s="43"/>
      <c r="I52" s="11"/>
      <c r="J52" s="44"/>
      <c r="K52" s="45"/>
      <c r="L52" s="46"/>
      <c r="M52" s="22"/>
      <c r="N52" s="22"/>
      <c r="O52" s="22"/>
    </row>
    <row r="53" spans="1:15" ht="13.5" thickBot="1">
      <c r="A53" s="11"/>
      <c r="B53" s="11"/>
      <c r="C53" s="11"/>
      <c r="D53" s="11"/>
      <c r="E53" s="11"/>
      <c r="F53" s="11"/>
      <c r="G53" s="11"/>
      <c r="H53" s="11"/>
      <c r="I53" s="11"/>
      <c r="J53" s="11"/>
      <c r="K53" s="11"/>
      <c r="L53" s="42"/>
      <c r="M53" s="22"/>
      <c r="N53" s="22"/>
      <c r="O53" s="22"/>
    </row>
    <row r="54" spans="1:15" ht="15.75">
      <c r="A54" s="168" t="s">
        <v>799</v>
      </c>
      <c r="B54" s="169"/>
      <c r="C54" s="169"/>
      <c r="D54" s="169"/>
      <c r="E54" s="3153" t="s">
        <v>800</v>
      </c>
      <c r="F54" s="3154"/>
      <c r="G54" s="3154"/>
      <c r="H54" s="3154"/>
      <c r="I54" s="3154" t="s">
        <v>788</v>
      </c>
      <c r="J54" s="3154"/>
      <c r="K54" s="3154"/>
      <c r="L54" s="3155"/>
      <c r="M54" s="22"/>
      <c r="N54" s="1152" t="s">
        <v>789</v>
      </c>
      <c r="O54" s="22"/>
    </row>
    <row r="55" spans="1:15" ht="15.75">
      <c r="A55" s="3228" t="s">
        <v>807</v>
      </c>
      <c r="B55" s="3229"/>
      <c r="C55" s="9"/>
      <c r="D55" s="89"/>
      <c r="E55" s="71"/>
      <c r="F55" s="9"/>
      <c r="G55" s="9"/>
      <c r="H55" s="9"/>
      <c r="I55" s="3294" t="s">
        <v>633</v>
      </c>
      <c r="J55" s="3295"/>
      <c r="K55" s="3295"/>
      <c r="L55" s="3296"/>
      <c r="M55" s="22"/>
      <c r="N55" s="126" t="s">
        <v>715</v>
      </c>
      <c r="O55" s="22"/>
    </row>
    <row r="56" spans="1:15" ht="15.75">
      <c r="A56" s="1407" t="s">
        <v>720</v>
      </c>
      <c r="B56" s="9" t="s">
        <v>1408</v>
      </c>
      <c r="C56" s="1255">
        <v>0.51572433856915745</v>
      </c>
      <c r="D56" s="75" t="s">
        <v>624</v>
      </c>
      <c r="E56" s="71">
        <f>E45*C56</f>
        <v>31180.89775715406</v>
      </c>
      <c r="F56" s="1148" t="s">
        <v>598</v>
      </c>
      <c r="G56" s="9"/>
      <c r="H56" s="9"/>
      <c r="I56" s="1318" t="s">
        <v>709</v>
      </c>
      <c r="J56" s="23" t="s">
        <v>710</v>
      </c>
      <c r="K56" s="23" t="s">
        <v>711</v>
      </c>
      <c r="L56" s="1289" t="s">
        <v>716</v>
      </c>
      <c r="M56" s="22"/>
      <c r="N56" s="1323" t="s">
        <v>622</v>
      </c>
      <c r="O56" s="22"/>
    </row>
    <row r="57" spans="1:15" ht="27.75" customHeight="1">
      <c r="A57" s="2705" t="s">
        <v>1720</v>
      </c>
      <c r="B57" s="1419" t="s">
        <v>1198</v>
      </c>
      <c r="C57" s="1422">
        <v>1.3924050632911393</v>
      </c>
      <c r="D57" s="1432" t="s">
        <v>585</v>
      </c>
      <c r="E57" s="1420">
        <f>E46*C56</f>
        <v>0.5106181569991658</v>
      </c>
      <c r="F57" s="1148" t="s">
        <v>620</v>
      </c>
      <c r="G57" s="79"/>
      <c r="H57" s="9"/>
      <c r="I57" s="13"/>
      <c r="J57" s="13"/>
      <c r="K57" s="75"/>
      <c r="L57" s="75"/>
      <c r="M57" s="22"/>
      <c r="N57" s="75"/>
      <c r="O57" s="22"/>
    </row>
    <row r="58" spans="1:15" ht="15.75">
      <c r="A58" s="1424"/>
      <c r="B58" s="79"/>
      <c r="C58" s="1256"/>
      <c r="D58" s="1253"/>
      <c r="E58" s="1421">
        <f>E56/$E$148/VLOOKUP($B56,'Standard values'!$C$9:$S$159,14, FALSE)</f>
        <v>3.7299515106303617E-2</v>
      </c>
      <c r="F58" s="1148" t="s">
        <v>599</v>
      </c>
      <c r="G58" s="9"/>
      <c r="H58" s="9"/>
      <c r="I58" s="13"/>
      <c r="J58" s="13"/>
      <c r="K58" s="75"/>
      <c r="L58" s="75"/>
      <c r="M58" s="22"/>
      <c r="N58" s="114"/>
      <c r="O58" s="22"/>
    </row>
    <row r="59" spans="1:15">
      <c r="A59" s="1425" t="s">
        <v>688</v>
      </c>
      <c r="B59" s="10" t="s">
        <v>1429</v>
      </c>
      <c r="C59" s="75"/>
      <c r="D59" s="75"/>
      <c r="E59" s="15"/>
      <c r="F59" s="9"/>
      <c r="G59" s="9"/>
      <c r="H59" s="9"/>
      <c r="I59" s="13"/>
      <c r="J59" s="13"/>
      <c r="K59" s="75"/>
      <c r="L59" s="75"/>
      <c r="M59" s="22"/>
      <c r="N59" s="114"/>
      <c r="O59" s="22"/>
    </row>
    <row r="60" spans="1:15" ht="15.75" customHeight="1">
      <c r="A60" s="2707" t="s">
        <v>1723</v>
      </c>
      <c r="B60" s="1148" t="s">
        <v>988</v>
      </c>
      <c r="C60" s="1255">
        <f>1.4*0.0539083423409348</f>
        <v>7.5471679277308718E-2</v>
      </c>
      <c r="D60" s="1432" t="s">
        <v>589</v>
      </c>
      <c r="E60" s="3312" t="s">
        <v>588</v>
      </c>
      <c r="F60" s="3312"/>
      <c r="G60" s="3312"/>
      <c r="H60" s="3312"/>
      <c r="I60" s="1235"/>
      <c r="J60" s="1235"/>
      <c r="K60" s="81"/>
      <c r="L60" s="1298"/>
      <c r="M60" s="22"/>
      <c r="N60" s="114"/>
      <c r="O60" s="22"/>
    </row>
    <row r="61" spans="1:15" ht="15.75">
      <c r="A61" s="1427" t="s">
        <v>625</v>
      </c>
      <c r="B61" s="9" t="s">
        <v>954</v>
      </c>
      <c r="C61" s="1255">
        <f>1.4*0.487016949431729</f>
        <v>0.68182372920442058</v>
      </c>
      <c r="D61" s="75" t="s">
        <v>732</v>
      </c>
      <c r="E61" s="3312"/>
      <c r="F61" s="3312"/>
      <c r="G61" s="3312"/>
      <c r="H61" s="3312"/>
      <c r="I61" s="1235"/>
      <c r="J61" s="1235"/>
      <c r="K61" s="81"/>
      <c r="L61" s="1298"/>
      <c r="M61" s="22"/>
      <c r="N61" s="114"/>
      <c r="O61" s="22"/>
    </row>
    <row r="62" spans="1:15">
      <c r="A62" s="1428" t="s">
        <v>626</v>
      </c>
      <c r="B62" s="1429" t="s">
        <v>938</v>
      </c>
      <c r="C62" s="1355"/>
      <c r="D62" s="1355"/>
      <c r="E62" s="1"/>
      <c r="F62" s="1"/>
      <c r="G62" s="1"/>
      <c r="H62" s="1"/>
      <c r="I62" s="3290" t="s">
        <v>623</v>
      </c>
      <c r="J62" s="3290"/>
      <c r="K62" s="3290"/>
      <c r="L62" s="3291"/>
      <c r="M62" s="22"/>
      <c r="N62" s="114"/>
      <c r="O62" s="22"/>
    </row>
    <row r="63" spans="1:15" ht="15.75">
      <c r="A63" s="1417" t="s">
        <v>627</v>
      </c>
      <c r="B63" s="1439" t="s">
        <v>939</v>
      </c>
      <c r="C63" s="1430"/>
      <c r="D63" s="1355"/>
      <c r="E63" s="1"/>
      <c r="F63" s="1"/>
      <c r="G63" s="1"/>
      <c r="H63" s="1"/>
      <c r="I63" s="1342">
        <f>$C61*$E$57*VLOOKUP($B63,'Standard values'!$C$9:$S$156,7, FALSE)/$E$149</f>
        <v>0</v>
      </c>
      <c r="J63" s="1342">
        <f>$C61*$E$57*VLOOKUP($B63,'Standard values'!$C$9:$S$156,8, FALSE)/$E$149</f>
        <v>0</v>
      </c>
      <c r="K63" s="563">
        <f>$C61*$E$57*VLOOKUP($B63,'Standard values'!$C$9:$S$156,9, FALSE)/$E$149</f>
        <v>0</v>
      </c>
      <c r="L63" s="561">
        <f>I63*'Standard values'!$D$10+J63*'Standard values'!$D$11+K63*'Standard values'!$D$12</f>
        <v>0</v>
      </c>
      <c r="M63" s="22"/>
      <c r="N63" s="114">
        <f>+L63/$E$58</f>
        <v>0</v>
      </c>
      <c r="O63" s="22"/>
    </row>
    <row r="64" spans="1:15">
      <c r="A64" s="1418" t="s">
        <v>628</v>
      </c>
      <c r="B64" s="1440" t="s">
        <v>940</v>
      </c>
      <c r="C64" s="1431">
        <v>1.8664000000000001</v>
      </c>
      <c r="D64" s="1433" t="s">
        <v>590</v>
      </c>
      <c r="E64" s="1"/>
      <c r="F64" s="1"/>
      <c r="G64" s="1"/>
      <c r="H64" s="1"/>
      <c r="I64" s="1342"/>
      <c r="J64" s="1415"/>
      <c r="K64" s="1338"/>
      <c r="L64" s="561"/>
      <c r="M64" s="22"/>
      <c r="N64" s="114"/>
      <c r="O64" s="22"/>
    </row>
    <row r="65" spans="1:15" ht="15.75">
      <c r="A65" s="1437" t="s">
        <v>727</v>
      </c>
      <c r="B65" s="1440" t="s">
        <v>1183</v>
      </c>
      <c r="C65" s="1430">
        <f>C64*C61</f>
        <v>1.2725558081871307</v>
      </c>
      <c r="D65" s="1433" t="s">
        <v>732</v>
      </c>
      <c r="E65" s="1"/>
      <c r="F65" s="1"/>
      <c r="G65" s="1"/>
      <c r="H65" s="1"/>
      <c r="I65" s="1342">
        <f>$C65*$E$57*VLOOKUP($B65,'Standard values'!$C$9:$S$159,7, FALSE)/$E$149</f>
        <v>80.125203906694495</v>
      </c>
      <c r="J65" s="1342">
        <f>$C65*$E$57*VLOOKUP($B65,'Standard values'!$C$9:$S$159,8, FALSE)/$E$149</f>
        <v>0.25214279388330013</v>
      </c>
      <c r="K65" s="563">
        <f>$C65*$E$57*VLOOKUP($B65,'Standard values'!$C$9:$S$159,9, FALSE)/$E$149</f>
        <v>2.8279017959714016E-4</v>
      </c>
      <c r="L65" s="561">
        <f>I65*'Standard values'!$D$10+J65*'Standard values'!$D$11+K65*'Standard values'!$D$12</f>
        <v>86.513045227296942</v>
      </c>
      <c r="M65" s="22"/>
      <c r="N65" s="114">
        <f>+L65/$E$58</f>
        <v>2319.4147425438309</v>
      </c>
      <c r="O65" s="22"/>
    </row>
    <row r="66" spans="1:15" ht="14.25">
      <c r="A66" s="1418" t="s">
        <v>582</v>
      </c>
      <c r="B66" s="1440" t="s">
        <v>812</v>
      </c>
      <c r="C66" s="1431">
        <v>-0.66149999999999998</v>
      </c>
      <c r="D66" s="1433" t="s">
        <v>591</v>
      </c>
      <c r="E66" s="1"/>
      <c r="F66" s="1"/>
      <c r="G66" s="1"/>
      <c r="H66" s="1"/>
      <c r="I66" s="1342"/>
      <c r="J66" s="1415"/>
      <c r="K66" s="1338"/>
      <c r="L66" s="561"/>
      <c r="M66" s="22"/>
      <c r="N66" s="114"/>
      <c r="O66" s="22"/>
    </row>
    <row r="67" spans="1:15" ht="15.75">
      <c r="A67" s="1418" t="s">
        <v>583</v>
      </c>
      <c r="B67" s="1440" t="s">
        <v>813</v>
      </c>
      <c r="C67" s="1430">
        <f>C66*C61</f>
        <v>-0.4510263968687242</v>
      </c>
      <c r="D67" s="1433" t="s">
        <v>732</v>
      </c>
      <c r="E67" s="1" t="s">
        <v>587</v>
      </c>
      <c r="F67" s="1"/>
      <c r="G67" s="1"/>
      <c r="H67" s="1"/>
      <c r="I67" s="1342"/>
      <c r="J67" s="1415"/>
      <c r="K67" s="1338"/>
      <c r="L67" s="561"/>
      <c r="M67" s="22"/>
      <c r="N67" s="114"/>
      <c r="O67" s="22"/>
    </row>
    <row r="68" spans="1:15" ht="15.75">
      <c r="A68" s="1438" t="s">
        <v>592</v>
      </c>
      <c r="B68" s="1440" t="str">
        <f>IF(C68&gt;0, "Electricity EU mix MV", "Electricity (NG CCGT)")</f>
        <v>Electricity (NG CCGT)</v>
      </c>
      <c r="C68" s="1430">
        <f>C67+C60</f>
        <v>-0.37555471759141545</v>
      </c>
      <c r="D68" s="1433" t="s">
        <v>732</v>
      </c>
      <c r="E68" s="1" t="str">
        <f>IF(C68&gt;0, "Використання е/е на етаноловому заводі більше за виробництво", "Надлишки е/е. Розраховується за")</f>
        <v>Надлишки е/е. Розраховується за</v>
      </c>
      <c r="F68" s="1"/>
      <c r="G68" s="1"/>
      <c r="H68" s="1"/>
      <c r="I68" s="1342">
        <f>$C68*$E$57*VLOOKUP($B68,'Standard values'!$C$9:$S$159,7, FALSE)/$E$149</f>
        <v>-42.993504069865246</v>
      </c>
      <c r="J68" s="1342">
        <f>$C68*$E$57*VLOOKUP($B68,'Standard values'!$C$9:$S$159,8, FALSE)/$E$149</f>
        <v>-0.13816126972708753</v>
      </c>
      <c r="K68" s="563">
        <f>$C68*$E$57*VLOOKUP($B68,'Standard values'!$C$9:$S$159,9, FALSE)/$E$149</f>
        <v>-1.8719885279133712E-3</v>
      </c>
      <c r="L68" s="561">
        <f>I68*'Standard values'!$D$10+J68*'Standard values'!$D$11+K68*'Standard values'!$D$12</f>
        <v>-47.005388394360622</v>
      </c>
      <c r="M68" s="22"/>
      <c r="N68" s="114">
        <f>+L68/$E$58</f>
        <v>-1260.2144628528083</v>
      </c>
      <c r="O68" s="22"/>
    </row>
    <row r="69" spans="1:15">
      <c r="A69" s="1352"/>
      <c r="B69" s="1441"/>
      <c r="C69" s="1430"/>
      <c r="D69" s="1433"/>
      <c r="E69" s="519" t="str">
        <f>IF(C68&gt;0, "   in Lignite CHP. Therefore calculated as EU Mix MV", "   RED, Додаток V.C.16")</f>
        <v xml:space="preserve">   RED, Додаток V.C.16</v>
      </c>
      <c r="F69" s="1"/>
      <c r="G69" s="1"/>
      <c r="H69" s="1"/>
      <c r="I69" s="1342"/>
      <c r="J69" s="1342"/>
      <c r="K69" s="563"/>
      <c r="L69" s="561"/>
      <c r="M69" s="22"/>
      <c r="N69" s="114"/>
      <c r="O69" s="22"/>
    </row>
    <row r="70" spans="1:15">
      <c r="A70" s="13"/>
      <c r="B70" s="10"/>
      <c r="C70" s="9"/>
      <c r="D70" s="9"/>
      <c r="E70" s="13"/>
      <c r="F70" s="9"/>
      <c r="G70" s="9"/>
      <c r="H70" s="1406" t="s">
        <v>770</v>
      </c>
      <c r="I70" s="1325">
        <f>SUM(I60:I68)</f>
        <v>37.131699836829249</v>
      </c>
      <c r="J70" s="1325">
        <f>SUM(J60:J68)</f>
        <v>0.1139815241562126</v>
      </c>
      <c r="K70" s="1325">
        <f>SUM(K60:K68)</f>
        <v>-1.5891983483162311E-3</v>
      </c>
      <c r="L70" s="1151">
        <f>I70*'Standard values'!$D$10+J70*'Standard values'!$D$11+K70*'Standard values'!$D$12</f>
        <v>39.507656832936327</v>
      </c>
      <c r="M70" s="22"/>
      <c r="N70" s="112">
        <f>+L70/$E$58</f>
        <v>1059.2002796910228</v>
      </c>
      <c r="O70" s="22"/>
    </row>
    <row r="71" spans="1:15" ht="18" customHeight="1">
      <c r="A71" s="13"/>
      <c r="B71" s="9"/>
      <c r="C71" s="37"/>
      <c r="D71" s="37"/>
      <c r="E71" s="13"/>
      <c r="F71" s="9"/>
      <c r="G71" s="9"/>
      <c r="H71" s="9"/>
      <c r="I71" s="13"/>
      <c r="J71" s="13"/>
      <c r="K71" s="75"/>
      <c r="L71" s="75"/>
      <c r="M71" s="22"/>
      <c r="N71" s="11"/>
      <c r="O71" s="22"/>
    </row>
    <row r="72" spans="1:15" ht="14.25">
      <c r="A72" s="161"/>
      <c r="B72" s="162"/>
      <c r="C72" s="162"/>
      <c r="D72" s="162"/>
      <c r="E72" s="161"/>
      <c r="F72" s="163"/>
      <c r="G72" s="163"/>
      <c r="H72" s="1404" t="s">
        <v>792</v>
      </c>
      <c r="I72" s="1434"/>
      <c r="J72" s="1435" t="s">
        <v>743</v>
      </c>
      <c r="K72" s="1436"/>
      <c r="L72" s="1405">
        <f>L70</f>
        <v>39.507656832936327</v>
      </c>
      <c r="M72" s="22"/>
      <c r="N72" s="11"/>
      <c r="O72" s="22"/>
    </row>
    <row r="73" spans="1:15">
      <c r="A73" s="11"/>
      <c r="B73" s="11"/>
      <c r="C73" s="11"/>
      <c r="D73" s="11"/>
      <c r="E73" s="11"/>
      <c r="F73" s="43"/>
      <c r="G73" s="43"/>
      <c r="H73" s="43"/>
      <c r="I73" s="11"/>
      <c r="J73" s="44"/>
      <c r="K73" s="45"/>
      <c r="L73" s="53"/>
      <c r="M73" s="22"/>
      <c r="N73" s="11"/>
      <c r="O73" s="11"/>
    </row>
    <row r="74" spans="1:15" ht="13.5" thickBot="1">
      <c r="A74" s="11"/>
      <c r="B74" s="11"/>
      <c r="C74" s="11"/>
      <c r="D74" s="11"/>
      <c r="E74" s="11"/>
      <c r="F74" s="43"/>
      <c r="G74" s="43"/>
      <c r="H74" s="43"/>
      <c r="I74" s="11"/>
      <c r="J74" s="44"/>
      <c r="K74" s="45"/>
      <c r="L74" s="53"/>
      <c r="M74" s="22"/>
      <c r="N74" s="11"/>
      <c r="O74" s="11"/>
    </row>
    <row r="75" spans="1:15" ht="15.75">
      <c r="A75" s="168" t="s">
        <v>735</v>
      </c>
      <c r="B75" s="169"/>
      <c r="C75" s="169"/>
      <c r="D75" s="169"/>
      <c r="E75" s="3292" t="s">
        <v>805</v>
      </c>
      <c r="F75" s="3207"/>
      <c r="G75" s="3207"/>
      <c r="H75" s="3208"/>
      <c r="I75" s="3201" t="s">
        <v>743</v>
      </c>
      <c r="J75" s="3202"/>
      <c r="K75" s="3203"/>
      <c r="L75" s="174">
        <f>L41+L51+L72</f>
        <v>76.940784934704411</v>
      </c>
      <c r="M75" s="22"/>
      <c r="N75" s="1152" t="s">
        <v>789</v>
      </c>
      <c r="O75" s="11"/>
    </row>
    <row r="76" spans="1:15" ht="15.75">
      <c r="A76" s="175" t="s">
        <v>804</v>
      </c>
      <c r="B76" s="176"/>
      <c r="C76" s="176"/>
      <c r="D76" s="176"/>
      <c r="E76" s="3293"/>
      <c r="F76" s="3209"/>
      <c r="G76" s="3209"/>
      <c r="H76" s="3210"/>
      <c r="I76" s="3204"/>
      <c r="J76" s="3205"/>
      <c r="K76" s="3206"/>
      <c r="L76" s="178"/>
      <c r="M76" s="22"/>
      <c r="N76" s="126" t="s">
        <v>715</v>
      </c>
      <c r="O76" s="11"/>
    </row>
    <row r="77" spans="1:15" ht="15.75">
      <c r="A77" s="6"/>
      <c r="B77" s="1"/>
      <c r="C77" s="1"/>
      <c r="D77" s="63"/>
      <c r="E77" s="3157" t="s">
        <v>551</v>
      </c>
      <c r="F77" s="3158"/>
      <c r="G77" s="3158"/>
      <c r="H77" s="3159"/>
      <c r="I77" s="1453">
        <f>L75</f>
        <v>76.940784934704411</v>
      </c>
      <c r="J77" s="1263" t="s">
        <v>597</v>
      </c>
      <c r="K77" s="7"/>
      <c r="L77" s="7"/>
      <c r="M77" s="22"/>
      <c r="N77" s="1323" t="s">
        <v>622</v>
      </c>
      <c r="O77" s="11"/>
    </row>
    <row r="78" spans="1:15" ht="15.75">
      <c r="A78" s="1266" t="s">
        <v>736</v>
      </c>
      <c r="B78" s="1364" t="s">
        <v>745</v>
      </c>
      <c r="C78" s="1" t="s">
        <v>1408</v>
      </c>
      <c r="D78" s="1"/>
      <c r="E78" s="1452" t="s">
        <v>593</v>
      </c>
      <c r="F78" s="1363">
        <f>1*1000*VLOOKUP($C78,'Standard values'!$C$9:$S$159,14, FALSE)</f>
        <v>26810</v>
      </c>
      <c r="G78" s="64"/>
      <c r="H78" s="1450" t="s">
        <v>740</v>
      </c>
      <c r="I78" s="1342">
        <f>$I$77*F78/F$80</f>
        <v>42.02172080996975</v>
      </c>
      <c r="J78" s="1263" t="s">
        <v>744</v>
      </c>
      <c r="K78" s="7"/>
      <c r="L78" s="7"/>
      <c r="M78" s="22"/>
      <c r="N78" s="75"/>
      <c r="O78" s="11"/>
    </row>
    <row r="79" spans="1:15" ht="25.5">
      <c r="A79" s="2702" t="s">
        <v>1719</v>
      </c>
      <c r="B79" s="1455" t="s">
        <v>595</v>
      </c>
      <c r="C79" s="1295" t="s">
        <v>943</v>
      </c>
      <c r="D79" s="1"/>
      <c r="E79" s="1452" t="s">
        <v>629</v>
      </c>
      <c r="F79" s="1363">
        <f>C57*1000*VLOOKUP($C79,'Standard values'!$C$9:$S$159,14, FALSE)</f>
        <v>22278.481012658231</v>
      </c>
      <c r="G79" s="64"/>
      <c r="H79" s="1451" t="s">
        <v>740</v>
      </c>
      <c r="I79" s="1456">
        <f>$I$77*F79/F$80</f>
        <v>34.91906412473466</v>
      </c>
      <c r="J79" s="1368" t="s">
        <v>596</v>
      </c>
      <c r="K79" s="1454"/>
      <c r="L79" s="7"/>
      <c r="M79" s="22"/>
      <c r="N79" s="114"/>
      <c r="O79" s="11"/>
    </row>
    <row r="80" spans="1:15">
      <c r="A80" s="6"/>
      <c r="B80" s="1"/>
      <c r="C80" s="1"/>
      <c r="D80" s="1"/>
      <c r="E80" s="1448" t="s">
        <v>739</v>
      </c>
      <c r="F80" s="1449">
        <f>SUM(F78:F79)</f>
        <v>49088.481012658231</v>
      </c>
      <c r="G80" s="64"/>
      <c r="H80" s="1450" t="s">
        <v>740</v>
      </c>
      <c r="I80" s="6"/>
      <c r="J80" s="1"/>
      <c r="K80" s="7"/>
      <c r="L80" s="7"/>
      <c r="M80" s="22"/>
      <c r="N80" s="114"/>
      <c r="O80" s="11"/>
    </row>
    <row r="81" spans="1:15" ht="14.25">
      <c r="A81" s="161"/>
      <c r="B81" s="162"/>
      <c r="C81" s="162"/>
      <c r="D81" s="162"/>
      <c r="E81" s="1443" t="s">
        <v>742</v>
      </c>
      <c r="F81" s="1444"/>
      <c r="G81" s="163"/>
      <c r="H81" s="1374"/>
      <c r="I81" s="161"/>
      <c r="J81" s="164" t="s">
        <v>1451</v>
      </c>
      <c r="K81" s="1374"/>
      <c r="L81" s="166">
        <f>I78</f>
        <v>42.02172080996975</v>
      </c>
      <c r="M81" s="22"/>
      <c r="N81" s="1325">
        <f>+L81/$E$58</f>
        <v>1126.602334915289</v>
      </c>
      <c r="O81" s="22"/>
    </row>
    <row r="82" spans="1:15">
      <c r="A82" s="11"/>
      <c r="B82" s="11"/>
      <c r="C82" s="11"/>
      <c r="D82" s="22"/>
      <c r="E82" s="22"/>
      <c r="F82" s="45"/>
      <c r="G82" s="45"/>
      <c r="H82" s="60"/>
      <c r="I82" s="52"/>
      <c r="J82" s="22"/>
      <c r="K82" s="22"/>
      <c r="L82" s="65"/>
      <c r="M82" s="22"/>
      <c r="N82" s="22"/>
      <c r="O82" s="22"/>
    </row>
    <row r="83" spans="1:15" ht="13.5" thickBot="1">
      <c r="A83" s="42"/>
      <c r="B83" s="53"/>
      <c r="C83" s="54"/>
      <c r="D83" s="11"/>
      <c r="E83" s="22"/>
      <c r="F83" s="22"/>
      <c r="G83" s="22"/>
      <c r="H83" s="22"/>
      <c r="I83" s="22"/>
      <c r="J83" s="59"/>
      <c r="K83" s="22"/>
      <c r="L83" s="22"/>
      <c r="M83" s="22"/>
      <c r="N83" s="22"/>
      <c r="O83" s="22"/>
    </row>
    <row r="84" spans="1:15" ht="15.75">
      <c r="A84" s="168" t="s">
        <v>630</v>
      </c>
      <c r="B84" s="170"/>
      <c r="C84" s="169"/>
      <c r="D84" s="169"/>
      <c r="E84" s="3153" t="s">
        <v>800</v>
      </c>
      <c r="F84" s="3154"/>
      <c r="G84" s="3154"/>
      <c r="H84" s="3155"/>
      <c r="I84" s="3238" t="s">
        <v>788</v>
      </c>
      <c r="J84" s="3239"/>
      <c r="K84" s="3239"/>
      <c r="L84" s="3239"/>
      <c r="M84" s="22"/>
      <c r="N84" s="1152" t="s">
        <v>789</v>
      </c>
      <c r="O84" s="22"/>
    </row>
    <row r="85" spans="1:15" ht="15.75">
      <c r="A85" s="1208" t="s">
        <v>745</v>
      </c>
      <c r="B85" s="10" t="s">
        <v>1408</v>
      </c>
      <c r="C85" s="420">
        <v>1</v>
      </c>
      <c r="D85" s="1148" t="s">
        <v>600</v>
      </c>
      <c r="E85" s="36">
        <f>E56*C85</f>
        <v>31180.89775715406</v>
      </c>
      <c r="F85" s="1148" t="s">
        <v>601</v>
      </c>
      <c r="G85" s="9"/>
      <c r="H85" s="84"/>
      <c r="I85" s="3156" t="s">
        <v>633</v>
      </c>
      <c r="J85" s="3144"/>
      <c r="K85" s="3144"/>
      <c r="L85" s="3145"/>
      <c r="M85" s="22"/>
      <c r="N85" s="126" t="s">
        <v>715</v>
      </c>
      <c r="O85" s="22"/>
    </row>
    <row r="86" spans="1:15" ht="15.75">
      <c r="A86" s="75"/>
      <c r="B86" s="9"/>
      <c r="C86" s="9"/>
      <c r="D86" s="9"/>
      <c r="E86" s="109">
        <f>E57*C85</f>
        <v>0.5106181569991658</v>
      </c>
      <c r="F86" s="1148" t="s">
        <v>620</v>
      </c>
      <c r="G86" s="79"/>
      <c r="H86" s="84"/>
      <c r="I86" s="32" t="s">
        <v>709</v>
      </c>
      <c r="J86" s="73" t="s">
        <v>710</v>
      </c>
      <c r="K86" s="73" t="s">
        <v>711</v>
      </c>
      <c r="L86" s="1289" t="s">
        <v>716</v>
      </c>
      <c r="M86" s="22"/>
      <c r="N86" s="1323" t="s">
        <v>622</v>
      </c>
      <c r="O86" s="22"/>
    </row>
    <row r="87" spans="1:15">
      <c r="A87" s="1207" t="s">
        <v>722</v>
      </c>
      <c r="B87" s="10" t="s">
        <v>1407</v>
      </c>
      <c r="C87" s="9"/>
      <c r="D87" s="9"/>
      <c r="E87" s="36"/>
      <c r="F87" s="9"/>
      <c r="G87" s="9"/>
      <c r="H87" s="9"/>
      <c r="I87" s="75"/>
      <c r="J87" s="89"/>
      <c r="K87" s="89"/>
      <c r="L87" s="89"/>
      <c r="M87" s="22"/>
      <c r="N87" s="75"/>
      <c r="O87" s="22"/>
    </row>
    <row r="88" spans="1:15" ht="15.75">
      <c r="A88" s="1208" t="s">
        <v>631</v>
      </c>
      <c r="B88" s="9" t="s">
        <v>1184</v>
      </c>
      <c r="C88" s="421">
        <f>2*150</f>
        <v>300</v>
      </c>
      <c r="D88" s="1148" t="s">
        <v>704</v>
      </c>
      <c r="E88" s="110">
        <f>(C88*E86/VLOOKUP($B85,'Standard values'!$C$9:$S$159,14, FALSE))/1000</f>
        <v>5.7137428981629901E-3</v>
      </c>
      <c r="F88" s="1148" t="s">
        <v>507</v>
      </c>
      <c r="G88" s="9"/>
      <c r="H88" s="9"/>
      <c r="I88" s="81">
        <f>$E88*VLOOKUP($B88,'Standard values'!$C$9:$S$159,15, FALSE)*VLOOKUP(C89,'Standard values'!$C$9:$S$159,7, FALSE)/$E$149</f>
        <v>0.98851174934725861</v>
      </c>
      <c r="J88" s="1280">
        <f>$E88*((VLOOKUP($B88,'Standard values'!$C$9:$S$159,15, FALSE)*VLOOKUP(C89,'Standard values'!$C$9:$S$159,8, FALSE))+VLOOKUP($B88,'Standard values'!$C$9:$S$159,16, FALSE))/$E$149</f>
        <v>5.5949272659455434E-5</v>
      </c>
      <c r="K88" s="1280">
        <f>$E88*((VLOOKUP($B88,'Standard values'!$C$9:$S$159,15, FALSE)*VLOOKUP(C89,'Standard values'!$C$9:$S$159,9, FALSE))+VLOOKUP($B88,'Standard values'!$C$9:$S$159,17, FALSE))/$E$149</f>
        <v>0</v>
      </c>
      <c r="L88" s="550">
        <f>I88*'Standard values'!$D$10+J88*'Standard values'!$D$11+K88*'Standard values'!$D$12</f>
        <v>0.98991048116374503</v>
      </c>
      <c r="M88" s="22"/>
      <c r="N88" s="114">
        <f>+L88/E$58</f>
        <v>26.539500000000004</v>
      </c>
      <c r="O88" s="22"/>
    </row>
    <row r="89" spans="1:15">
      <c r="A89" s="1208" t="s">
        <v>703</v>
      </c>
      <c r="B89" s="29" t="s">
        <v>1374</v>
      </c>
      <c r="C89" s="422" t="s">
        <v>1413</v>
      </c>
      <c r="D89" s="9"/>
      <c r="E89" s="13"/>
      <c r="F89" s="9"/>
      <c r="G89" s="9"/>
      <c r="H89" s="9"/>
      <c r="I89" s="1235"/>
      <c r="J89" s="81"/>
      <c r="K89" s="81"/>
      <c r="L89" s="550"/>
      <c r="M89" s="22"/>
      <c r="N89" s="114"/>
      <c r="O89" s="22"/>
    </row>
    <row r="90" spans="1:15">
      <c r="A90" s="75"/>
      <c r="B90" s="9"/>
      <c r="C90" s="17"/>
      <c r="D90" s="9"/>
      <c r="E90" s="110"/>
      <c r="F90" s="9"/>
      <c r="G90" s="9"/>
      <c r="H90" s="9"/>
      <c r="I90" s="1235"/>
      <c r="J90" s="81"/>
      <c r="K90" s="81"/>
      <c r="L90" s="106"/>
      <c r="M90" s="22"/>
      <c r="N90" s="114"/>
      <c r="O90" s="22"/>
    </row>
    <row r="91" spans="1:15">
      <c r="A91" s="1207" t="s">
        <v>632</v>
      </c>
      <c r="B91" s="10" t="s">
        <v>1457</v>
      </c>
      <c r="C91" s="9"/>
      <c r="D91" s="9"/>
      <c r="E91" s="13"/>
      <c r="F91" s="9"/>
      <c r="G91" s="9"/>
      <c r="H91" s="9"/>
      <c r="I91" s="1235"/>
      <c r="J91" s="81"/>
      <c r="K91" s="81"/>
      <c r="L91" s="81"/>
      <c r="M91" s="22"/>
      <c r="N91" s="114"/>
      <c r="O91" s="22"/>
    </row>
    <row r="92" spans="1:15" ht="27">
      <c r="A92" s="2701" t="s">
        <v>1698</v>
      </c>
      <c r="B92" s="9" t="s">
        <v>1371</v>
      </c>
      <c r="C92" s="421">
        <v>8.4000000000000003E-4</v>
      </c>
      <c r="D92" s="1148" t="s">
        <v>732</v>
      </c>
      <c r="E92" s="13"/>
      <c r="F92" s="9"/>
      <c r="G92" s="9"/>
      <c r="H92" s="9"/>
      <c r="I92" s="1235">
        <f>$C92*$E$86*VLOOKUP($B92,'Standard values'!$C$9:$S$159,7, FALSE)/$E$149</f>
        <v>0.10146738000000001</v>
      </c>
      <c r="J92" s="81">
        <f>$C92*$E$86*VLOOKUP($B92,'Standard values'!$C$9:$S$159,8, FALSE)/$E$149</f>
        <v>2.4745000000000002E-4</v>
      </c>
      <c r="K92" s="81">
        <f>$C92*$E$86*VLOOKUP($B92,'Standard values'!$C$9:$S$159,9, FALSE)/$E$149</f>
        <v>4.596666666666667E-6</v>
      </c>
      <c r="L92" s="106">
        <f>I92*'Standard values'!$D$10+J92*'Standard values'!$D$11+K92*'Standard values'!$D$12</f>
        <v>0.10902343666666668</v>
      </c>
      <c r="M92" s="22"/>
      <c r="N92" s="114">
        <f>+L92/E$58</f>
        <v>2.9229183370333338</v>
      </c>
      <c r="O92" s="22"/>
    </row>
    <row r="93" spans="1:15" ht="14.25">
      <c r="A93" s="161"/>
      <c r="B93" s="162"/>
      <c r="C93" s="162"/>
      <c r="D93" s="162"/>
      <c r="E93" s="161"/>
      <c r="F93" s="163"/>
      <c r="G93" s="163"/>
      <c r="H93" s="163" t="s">
        <v>792</v>
      </c>
      <c r="I93" s="161"/>
      <c r="J93" s="3326" t="s">
        <v>743</v>
      </c>
      <c r="K93" s="3326"/>
      <c r="L93" s="166">
        <f>L92+L88</f>
        <v>1.0989339178304116</v>
      </c>
      <c r="M93" s="22"/>
      <c r="N93" s="1325">
        <f>+L93/E$58</f>
        <v>29.462418337033338</v>
      </c>
      <c r="O93" s="22"/>
    </row>
    <row r="94" spans="1:15">
      <c r="A94" s="11"/>
      <c r="B94" s="11"/>
      <c r="C94" s="11"/>
      <c r="D94" s="11"/>
      <c r="E94" s="11"/>
      <c r="F94" s="43"/>
      <c r="G94" s="43"/>
      <c r="H94" s="43"/>
      <c r="I94" s="11"/>
      <c r="J94" s="44"/>
      <c r="K94" s="45"/>
      <c r="L94" s="46"/>
      <c r="M94" s="22"/>
      <c r="N94" s="11"/>
      <c r="O94" s="22"/>
    </row>
    <row r="95" spans="1:15" ht="13.5" thickBot="1">
      <c r="A95" s="11"/>
      <c r="B95" s="11"/>
      <c r="C95" s="11"/>
      <c r="D95" s="11"/>
      <c r="E95" s="11"/>
      <c r="F95" s="43"/>
      <c r="G95" s="43"/>
      <c r="H95" s="43"/>
      <c r="I95" s="11"/>
      <c r="J95" s="44"/>
      <c r="K95" s="45"/>
      <c r="L95" s="46"/>
      <c r="M95" s="22"/>
      <c r="N95" s="22"/>
      <c r="O95" s="22"/>
    </row>
    <row r="96" spans="1:15" ht="15.75">
      <c r="A96" s="168" t="s">
        <v>806</v>
      </c>
      <c r="B96" s="169"/>
      <c r="C96" s="169"/>
      <c r="D96" s="169"/>
      <c r="E96" s="3153" t="s">
        <v>800</v>
      </c>
      <c r="F96" s="3154"/>
      <c r="G96" s="3154"/>
      <c r="H96" s="3154"/>
      <c r="I96" s="3238" t="s">
        <v>788</v>
      </c>
      <c r="J96" s="3239"/>
      <c r="K96" s="3239"/>
      <c r="L96" s="3239"/>
      <c r="M96" s="22"/>
      <c r="N96" s="1152" t="s">
        <v>789</v>
      </c>
      <c r="O96" s="22"/>
    </row>
    <row r="97" spans="1:15" ht="15.75">
      <c r="A97" s="3236" t="s">
        <v>807</v>
      </c>
      <c r="B97" s="3280"/>
      <c r="C97" s="423">
        <v>1</v>
      </c>
      <c r="D97" s="1148" t="s">
        <v>603</v>
      </c>
      <c r="E97" s="36">
        <f>E85*C97</f>
        <v>31180.89775715406</v>
      </c>
      <c r="F97" s="1148" t="s">
        <v>601</v>
      </c>
      <c r="G97" s="9"/>
      <c r="H97" s="9"/>
      <c r="I97" s="3156" t="s">
        <v>633</v>
      </c>
      <c r="J97" s="3144"/>
      <c r="K97" s="3144"/>
      <c r="L97" s="3145"/>
      <c r="M97" s="22"/>
      <c r="N97" s="126" t="s">
        <v>715</v>
      </c>
      <c r="O97" s="22"/>
    </row>
    <row r="98" spans="1:15" ht="15.75">
      <c r="A98" s="13"/>
      <c r="B98" s="9"/>
      <c r="C98" s="9"/>
      <c r="D98" s="9"/>
      <c r="E98" s="109">
        <f>E86*C97</f>
        <v>0.5106181569991658</v>
      </c>
      <c r="F98" s="1148" t="s">
        <v>620</v>
      </c>
      <c r="G98" s="79"/>
      <c r="H98" s="9"/>
      <c r="I98" s="1546" t="s">
        <v>709</v>
      </c>
      <c r="J98" s="1546" t="s">
        <v>710</v>
      </c>
      <c r="K98" s="1544" t="s">
        <v>711</v>
      </c>
      <c r="L98" s="1545" t="s">
        <v>716</v>
      </c>
      <c r="M98" s="22"/>
      <c r="N98" s="1323" t="s">
        <v>622</v>
      </c>
      <c r="O98" s="22"/>
    </row>
    <row r="99" spans="1:15">
      <c r="A99" s="1207" t="s">
        <v>632</v>
      </c>
      <c r="B99" s="10" t="s">
        <v>1429</v>
      </c>
      <c r="C99" s="9"/>
      <c r="D99" s="9"/>
      <c r="E99" s="13"/>
      <c r="F99" s="9"/>
      <c r="G99" s="9"/>
      <c r="H99" s="9"/>
      <c r="I99" s="1235"/>
      <c r="J99" s="1235"/>
      <c r="K99" s="81"/>
      <c r="L99" s="81"/>
      <c r="M99" s="22"/>
      <c r="N99" s="75"/>
      <c r="O99" s="22"/>
    </row>
    <row r="100" spans="1:15" ht="27">
      <c r="A100" s="2701" t="s">
        <v>1698</v>
      </c>
      <c r="B100" s="9" t="s">
        <v>1371</v>
      </c>
      <c r="C100" s="424">
        <v>3.3999999999999998E-3</v>
      </c>
      <c r="D100" s="1148" t="s">
        <v>732</v>
      </c>
      <c r="E100" s="13"/>
      <c r="F100" s="9"/>
      <c r="G100" s="9"/>
      <c r="H100" s="9"/>
      <c r="I100" s="1235">
        <f>$C100*$E$86*VLOOKUP($B100,'Standard values'!$C$9:$S$159,7, FALSE)/$E$149</f>
        <v>0.41070129999999994</v>
      </c>
      <c r="J100" s="1235">
        <f>$C100*$E$86*VLOOKUP($B100,'Standard values'!$C$9:$S$159,8, FALSE)/$E$149</f>
        <v>1.0015833333333331E-3</v>
      </c>
      <c r="K100" s="81">
        <f>$C100*$E$86*VLOOKUP($B100,'Standard values'!$C$9:$S$159,9, FALSE)/$E$149</f>
        <v>1.8605555555555555E-5</v>
      </c>
      <c r="L100" s="106">
        <f>I100*'Standard values'!$D$10+J100*'Standard values'!$D$11+K100*'Standard values'!$D$12</f>
        <v>0.44128533888888882</v>
      </c>
      <c r="M100" s="22"/>
      <c r="N100" s="112">
        <f>+L100/$E$58</f>
        <v>11.830859935611109</v>
      </c>
      <c r="O100" s="22"/>
    </row>
    <row r="101" spans="1:15" ht="14.25">
      <c r="A101" s="161"/>
      <c r="B101" s="162"/>
      <c r="C101" s="162"/>
      <c r="D101" s="162"/>
      <c r="E101" s="161"/>
      <c r="F101" s="163"/>
      <c r="G101" s="163"/>
      <c r="H101" s="163" t="s">
        <v>792</v>
      </c>
      <c r="I101" s="161"/>
      <c r="J101" s="3326" t="s">
        <v>743</v>
      </c>
      <c r="K101" s="3326"/>
      <c r="L101" s="166">
        <f>L100</f>
        <v>0.44128533888888882</v>
      </c>
      <c r="M101" s="22"/>
      <c r="N101" s="11"/>
      <c r="O101" s="22"/>
    </row>
    <row r="102" spans="1:15">
      <c r="A102" s="11"/>
      <c r="B102" s="11"/>
      <c r="C102" s="11"/>
      <c r="D102" s="11"/>
      <c r="E102" s="11"/>
      <c r="F102" s="43"/>
      <c r="G102" s="43"/>
      <c r="H102" s="43"/>
      <c r="I102" s="11"/>
      <c r="J102" s="44"/>
      <c r="K102" s="45"/>
      <c r="L102" s="66"/>
      <c r="M102" s="22"/>
      <c r="N102" s="11"/>
      <c r="O102" s="22"/>
    </row>
    <row r="103" spans="1:15">
      <c r="A103" s="11"/>
      <c r="B103" s="11"/>
      <c r="C103" s="11"/>
      <c r="D103" s="11"/>
      <c r="E103" s="11"/>
      <c r="F103" s="43"/>
      <c r="G103" s="43"/>
      <c r="H103" s="43"/>
      <c r="I103" s="11"/>
      <c r="J103" s="44"/>
      <c r="K103" s="45"/>
      <c r="L103" s="66"/>
      <c r="M103" s="22"/>
      <c r="N103" s="22"/>
      <c r="O103" s="22"/>
    </row>
    <row r="104" spans="1:15" ht="15.75">
      <c r="A104" s="168" t="s">
        <v>1724</v>
      </c>
      <c r="B104" s="180"/>
      <c r="C104" s="181"/>
      <c r="D104" s="169"/>
      <c r="E104" s="182"/>
      <c r="F104" s="169"/>
      <c r="G104" s="169"/>
      <c r="H104" s="169"/>
      <c r="I104" s="169"/>
      <c r="J104" s="169"/>
      <c r="K104" s="169"/>
      <c r="L104" s="183"/>
      <c r="M104" s="22"/>
      <c r="N104" s="22"/>
      <c r="O104" s="22"/>
    </row>
    <row r="105" spans="1:15" ht="15.75">
      <c r="A105" s="86"/>
      <c r="B105" s="549" t="s">
        <v>1193</v>
      </c>
      <c r="C105" s="10" t="s">
        <v>642</v>
      </c>
      <c r="D105" s="9"/>
      <c r="E105" s="13"/>
      <c r="F105" s="9"/>
      <c r="G105" s="9"/>
      <c r="H105" s="9"/>
      <c r="I105" s="9"/>
      <c r="J105" s="9"/>
      <c r="K105" s="9"/>
      <c r="L105" s="73"/>
      <c r="M105" s="22"/>
      <c r="N105" s="11"/>
      <c r="O105" s="11"/>
    </row>
    <row r="106" spans="1:15" ht="15.75">
      <c r="A106" s="86"/>
      <c r="B106" s="10"/>
      <c r="C106" s="17"/>
      <c r="D106" s="545" t="s">
        <v>747</v>
      </c>
      <c r="E106" s="546" t="str">
        <f>IF(D108="Yes","From :  ", " ")</f>
        <v xml:space="preserve"> </v>
      </c>
      <c r="F106" s="3151" t="str">
        <f>IF(D108="Yes",'LUC (EnVer)'!H$35 &amp; " ; " &amp; 'LUC (EnVer)'!H$36 &amp; " ; " &amp; 'LUC (EnVer)'!H$39 &amp; " ; " &amp; 'LUC (EnVer)'!H$40 &amp; " ; " &amp; 'LUC (EnVer)'!H$45 &amp; " ; " &amp; 'LUC (EnVer)'!H$46 &amp; " ; " &amp; 'LUC (EnVer)'!H$47, " ")</f>
        <v xml:space="preserve"> </v>
      </c>
      <c r="G106" s="3151"/>
      <c r="H106" s="3151"/>
      <c r="I106" s="3151"/>
      <c r="J106" s="3151"/>
      <c r="K106" s="3151"/>
      <c r="L106" s="3152"/>
      <c r="M106" s="22"/>
      <c r="N106" s="11"/>
      <c r="O106" s="11"/>
    </row>
    <row r="107" spans="1:15" ht="15.75">
      <c r="A107" s="86"/>
      <c r="B107" s="1238" t="s">
        <v>605</v>
      </c>
      <c r="C107" s="580" t="s">
        <v>747</v>
      </c>
      <c r="D107" s="545" t="s">
        <v>748</v>
      </c>
      <c r="E107" s="36"/>
      <c r="F107" s="3151"/>
      <c r="G107" s="3151"/>
      <c r="H107" s="3151"/>
      <c r="I107" s="3151"/>
      <c r="J107" s="3151"/>
      <c r="K107" s="3151"/>
      <c r="L107" s="3152"/>
      <c r="M107" s="22"/>
      <c r="N107" s="11"/>
      <c r="O107" s="11"/>
    </row>
    <row r="108" spans="1:15" ht="15.75">
      <c r="A108" s="86"/>
      <c r="B108" s="10"/>
      <c r="C108" s="552" t="str">
        <f>IF(D108="Yes","Go to", " ")</f>
        <v xml:space="preserve"> </v>
      </c>
      <c r="D108" s="545" t="s">
        <v>748</v>
      </c>
      <c r="E108" s="546" t="str">
        <f>IF(D108="Yes","To    :   ", " ")</f>
        <v xml:space="preserve"> </v>
      </c>
      <c r="F108" s="3186" t="str">
        <f>IF(D108="Yes", 'LUC (EnVer)'!D$35 &amp; " ; " &amp; 'LUC (EnVer)'!D$36 &amp; " ; " &amp; 'LUC (EnVer)'!D$39 &amp; " ; " &amp; 'LUC (EnVer)'!D$40 &amp; " ; " &amp; 'LUC (EnVer)'!D$45 &amp; " ; " &amp; 'LUC (EnVer)'!D$46 &amp; " ; " &amp; 'LUC (EnVer)'!D$47, " ")</f>
        <v xml:space="preserve"> </v>
      </c>
      <c r="G108" s="3186"/>
      <c r="H108" s="3186"/>
      <c r="I108" s="3186"/>
      <c r="J108" s="3186"/>
      <c r="K108" s="3186"/>
      <c r="L108" s="3187"/>
      <c r="M108" s="22"/>
      <c r="N108" s="11"/>
      <c r="O108" s="11"/>
    </row>
    <row r="109" spans="1:15" ht="15.75">
      <c r="A109" s="86"/>
      <c r="B109" s="21"/>
      <c r="C109" s="551" t="str">
        <f>IF(D108="Yes","sheet 'LUC' ", " ")</f>
        <v xml:space="preserve"> </v>
      </c>
      <c r="D109" s="9"/>
      <c r="E109" s="547"/>
      <c r="F109" s="3186"/>
      <c r="G109" s="3186"/>
      <c r="H109" s="3186"/>
      <c r="I109" s="3186"/>
      <c r="J109" s="3186"/>
      <c r="K109" s="3186"/>
      <c r="L109" s="3187"/>
      <c r="M109" s="22"/>
      <c r="N109" s="11"/>
      <c r="O109" s="11"/>
    </row>
    <row r="110" spans="1:15" ht="15.75">
      <c r="A110" s="86"/>
      <c r="B110" s="21"/>
      <c r="C110" s="552" t="str">
        <f>IF(D108="Yes","to calculate the land use change", " ")</f>
        <v xml:space="preserve"> </v>
      </c>
      <c r="D110" s="9"/>
      <c r="E110" s="547"/>
      <c r="F110" s="532"/>
      <c r="G110" s="532"/>
      <c r="H110" s="532"/>
      <c r="I110" s="3144" t="s">
        <v>633</v>
      </c>
      <c r="J110" s="3144"/>
      <c r="K110" s="3144"/>
      <c r="L110" s="3145"/>
      <c r="M110" s="22"/>
      <c r="N110" s="11"/>
      <c r="O110" s="11"/>
    </row>
    <row r="111" spans="1:15" ht="16.5">
      <c r="A111" s="86"/>
      <c r="B111" s="21"/>
      <c r="C111" s="552"/>
      <c r="D111" s="9"/>
      <c r="E111" s="547"/>
      <c r="F111" s="532"/>
      <c r="G111" s="532"/>
      <c r="H111" s="532"/>
      <c r="I111" s="1546" t="s">
        <v>709</v>
      </c>
      <c r="J111" s="1546" t="s">
        <v>710</v>
      </c>
      <c r="K111" s="1544" t="s">
        <v>711</v>
      </c>
      <c r="L111" s="1545" t="s">
        <v>716</v>
      </c>
      <c r="M111" s="22"/>
      <c r="N111" s="11"/>
      <c r="O111" s="11"/>
    </row>
    <row r="112" spans="1:15" ht="16.5">
      <c r="A112" s="86"/>
      <c r="B112" s="1291" t="s">
        <v>606</v>
      </c>
      <c r="C112" s="548">
        <f>IF(D108="Yes",'LUC (EnVer)'!$J$82,0)</f>
        <v>0</v>
      </c>
      <c r="D112" s="1206" t="s">
        <v>648</v>
      </c>
      <c r="E112" s="13"/>
      <c r="F112" s="9"/>
      <c r="G112" s="9"/>
      <c r="H112" s="9"/>
      <c r="I112" s="1235">
        <f>$C112*1000000/$E$148</f>
        <v>0</v>
      </c>
      <c r="J112" s="1235">
        <v>0</v>
      </c>
      <c r="K112" s="1235">
        <v>0</v>
      </c>
      <c r="L112" s="1298">
        <f>I112*'Standard values'!$D$10+J112*'Standard values'!$D$11+K112*'Standard values'!$D$12</f>
        <v>0</v>
      </c>
      <c r="M112" s="22"/>
      <c r="N112" s="11"/>
      <c r="O112" s="11"/>
    </row>
    <row r="113" spans="1:15" ht="15.75">
      <c r="A113" s="86"/>
      <c r="B113" s="21"/>
      <c r="C113" s="19"/>
      <c r="D113" s="9"/>
      <c r="E113" s="13"/>
      <c r="F113" s="9"/>
      <c r="G113" s="9"/>
      <c r="H113" s="9"/>
      <c r="I113" s="1235"/>
      <c r="J113" s="1235"/>
      <c r="K113" s="1235"/>
      <c r="L113" s="106"/>
      <c r="M113" s="22"/>
      <c r="N113" s="11"/>
      <c r="O113" s="11"/>
    </row>
    <row r="114" spans="1:15" ht="15.75">
      <c r="A114" s="13"/>
      <c r="B114" s="2690" t="s">
        <v>1700</v>
      </c>
      <c r="C114" s="424">
        <v>0</v>
      </c>
      <c r="D114" s="1206" t="s">
        <v>607</v>
      </c>
      <c r="E114" s="13"/>
      <c r="F114" s="9"/>
      <c r="G114" s="9"/>
      <c r="H114" s="9"/>
      <c r="I114" s="1235">
        <f>-C114</f>
        <v>0</v>
      </c>
      <c r="J114" s="1235">
        <v>0</v>
      </c>
      <c r="K114" s="1235">
        <v>0</v>
      </c>
      <c r="L114" s="1298">
        <f>I114*'Standard values'!$D$10+J114*'Standard values'!$D$11+K114*'Standard values'!$D$12</f>
        <v>0</v>
      </c>
      <c r="M114" s="22"/>
      <c r="N114" s="11"/>
      <c r="O114" s="11"/>
    </row>
    <row r="115" spans="1:15">
      <c r="A115" s="13"/>
      <c r="B115" s="41" t="str">
        <f>IF(C114=-29,"Year of conversion:","")</f>
        <v/>
      </c>
      <c r="C115" s="640"/>
      <c r="D115" s="87" t="str">
        <f>IF(C114=-29,"Fill in the year of conversion","")</f>
        <v/>
      </c>
      <c r="E115" s="13"/>
      <c r="F115" s="9"/>
      <c r="G115" s="9"/>
      <c r="H115" s="9"/>
      <c r="I115" s="13"/>
      <c r="J115" s="13"/>
      <c r="K115" s="1235"/>
      <c r="L115" s="106">
        <f>SUM(L112:L114)</f>
        <v>0</v>
      </c>
      <c r="M115" s="22"/>
      <c r="N115" s="11"/>
      <c r="O115" s="11"/>
    </row>
    <row r="116" spans="1:15">
      <c r="A116" s="13"/>
      <c r="B116" s="41"/>
      <c r="C116" s="41"/>
      <c r="D116" s="87"/>
      <c r="E116" s="13"/>
      <c r="F116" s="9"/>
      <c r="G116" s="9"/>
      <c r="H116" s="9"/>
      <c r="I116" s="13"/>
      <c r="J116" s="13"/>
      <c r="K116" s="1235"/>
      <c r="L116" s="106"/>
      <c r="M116" s="22"/>
      <c r="N116" s="11"/>
      <c r="O116" s="11"/>
    </row>
    <row r="117" spans="1:15" ht="14.25">
      <c r="A117" s="161"/>
      <c r="B117" s="162"/>
      <c r="C117" s="162"/>
      <c r="D117" s="162"/>
      <c r="E117" s="161"/>
      <c r="F117" s="163"/>
      <c r="G117" s="163"/>
      <c r="H117" s="163" t="s">
        <v>792</v>
      </c>
      <c r="I117" s="161"/>
      <c r="J117" s="3326" t="s">
        <v>743</v>
      </c>
      <c r="K117" s="3326"/>
      <c r="L117" s="166">
        <f>L115</f>
        <v>0</v>
      </c>
      <c r="M117" s="22"/>
      <c r="N117" s="11"/>
      <c r="O117" s="11"/>
    </row>
    <row r="118" spans="1:15">
      <c r="A118" s="11"/>
      <c r="B118" s="11"/>
      <c r="C118" s="11"/>
      <c r="D118" s="11"/>
      <c r="E118" s="11"/>
      <c r="F118" s="43"/>
      <c r="G118" s="43"/>
      <c r="H118" s="43"/>
      <c r="I118" s="11"/>
      <c r="J118" s="44"/>
      <c r="K118" s="45"/>
      <c r="L118" s="67"/>
      <c r="M118" s="22"/>
      <c r="N118" s="11"/>
      <c r="O118" s="11"/>
    </row>
    <row r="119" spans="1:15">
      <c r="A119" s="11"/>
      <c r="B119" s="11"/>
      <c r="C119" s="11"/>
      <c r="D119" s="11"/>
      <c r="E119" s="11"/>
      <c r="F119" s="43"/>
      <c r="G119" s="43"/>
      <c r="H119" s="43"/>
      <c r="I119" s="11"/>
      <c r="J119" s="44"/>
      <c r="K119" s="45"/>
      <c r="L119" s="67"/>
      <c r="M119" s="22"/>
      <c r="N119" s="11"/>
      <c r="O119" s="11"/>
    </row>
    <row r="120" spans="1:15" ht="15.75">
      <c r="A120" s="168" t="s">
        <v>645</v>
      </c>
      <c r="B120" s="180"/>
      <c r="C120" s="181"/>
      <c r="D120" s="169"/>
      <c r="E120" s="182"/>
      <c r="F120" s="169"/>
      <c r="G120" s="169"/>
      <c r="H120" s="169"/>
      <c r="I120" s="182"/>
      <c r="J120" s="169"/>
      <c r="K120" s="169"/>
      <c r="L120" s="183"/>
      <c r="M120" s="22"/>
      <c r="N120" s="11"/>
      <c r="O120" s="11"/>
    </row>
    <row r="121" spans="1:15" ht="15.75">
      <c r="A121" s="86"/>
      <c r="B121" s="21" t="s">
        <v>1192</v>
      </c>
      <c r="C121" s="19" t="s">
        <v>1701</v>
      </c>
      <c r="D121" s="89"/>
      <c r="E121" s="13"/>
      <c r="F121" s="9"/>
      <c r="G121" s="9"/>
      <c r="H121" s="9"/>
      <c r="I121" s="3156" t="s">
        <v>633</v>
      </c>
      <c r="J121" s="3144"/>
      <c r="K121" s="3144"/>
      <c r="L121" s="3145"/>
      <c r="M121" s="22"/>
      <c r="N121" s="11"/>
      <c r="O121" s="11"/>
    </row>
    <row r="122" spans="1:15" ht="15.75" customHeight="1">
      <c r="A122" s="86"/>
      <c r="B122" s="10"/>
      <c r="C122" s="17"/>
      <c r="D122" s="545" t="s">
        <v>747</v>
      </c>
      <c r="E122" s="546" t="str">
        <f>IF(D124="Yes","From :  ", " ")</f>
        <v xml:space="preserve"> </v>
      </c>
      <c r="F122" s="1296" t="str">
        <f>IF(D124="Yes",'Esca (EnVer)'!H$42 &amp; ", " &amp; 'Esca (EnVer)'!H$43 &amp; " input ","")</f>
        <v/>
      </c>
      <c r="G122" s="1296"/>
      <c r="H122" s="1296"/>
      <c r="I122" s="1457"/>
      <c r="J122" s="1296"/>
      <c r="K122" s="1296"/>
      <c r="L122" s="1297"/>
      <c r="M122" s="22"/>
      <c r="N122" s="11"/>
      <c r="O122" s="11"/>
    </row>
    <row r="123" spans="1:15" ht="15.75">
      <c r="A123" s="86"/>
      <c r="B123" s="1238" t="s">
        <v>647</v>
      </c>
      <c r="C123" s="17"/>
      <c r="D123" s="545" t="s">
        <v>748</v>
      </c>
      <c r="E123" s="36"/>
      <c r="F123" s="1296"/>
      <c r="G123" s="1296"/>
      <c r="H123" s="1296"/>
      <c r="I123" s="1457"/>
      <c r="J123" s="1296"/>
      <c r="K123" s="1296"/>
      <c r="L123" s="1297"/>
      <c r="M123" s="22"/>
      <c r="N123" s="11"/>
      <c r="O123" s="11"/>
    </row>
    <row r="124" spans="1:15" ht="15.75" customHeight="1">
      <c r="A124" s="86"/>
      <c r="B124" s="10"/>
      <c r="C124" s="552" t="str">
        <f>IF(D124="Yes","Go to", " ")</f>
        <v xml:space="preserve"> </v>
      </c>
      <c r="D124" s="545" t="s">
        <v>748</v>
      </c>
      <c r="E124" s="546" t="str">
        <f>IF(D124="Yes","To    :   ", " ")</f>
        <v xml:space="preserve"> </v>
      </c>
      <c r="F124" s="1296" t="str">
        <f>IF(D124="Yes",'Esca (EnVer)'!D$42 &amp; ", " &amp; 'Esca (EnVer)'!D$43 &amp; " input ","")</f>
        <v/>
      </c>
      <c r="G124" s="1296"/>
      <c r="H124" s="1296"/>
      <c r="I124" s="1457"/>
      <c r="J124" s="1296"/>
      <c r="K124" s="1296"/>
      <c r="L124" s="1297"/>
      <c r="M124" s="22"/>
      <c r="N124" s="11"/>
      <c r="O124" s="11"/>
    </row>
    <row r="125" spans="1:15" ht="15.75">
      <c r="A125" s="86"/>
      <c r="B125" s="21"/>
      <c r="C125" s="551" t="str">
        <f>IF(D124="Yes","sheet 'Esca' ", " ")</f>
        <v xml:space="preserve"> </v>
      </c>
      <c r="D125" s="9"/>
      <c r="E125" s="547"/>
      <c r="F125" s="1296"/>
      <c r="G125" s="1296"/>
      <c r="H125" s="1296"/>
      <c r="I125" s="1457"/>
      <c r="J125" s="1296"/>
      <c r="K125" s="1296"/>
      <c r="L125" s="1297"/>
      <c r="M125" s="22"/>
      <c r="N125" s="11"/>
      <c r="O125" s="11"/>
    </row>
    <row r="126" spans="1:15" ht="15.75">
      <c r="A126" s="86"/>
      <c r="B126" s="21"/>
      <c r="C126" s="552" t="str">
        <f>IF(D124="Yes","to calculate the soil carbon accumulation", " ")</f>
        <v xml:space="preserve"> </v>
      </c>
      <c r="D126" s="9"/>
      <c r="E126" s="547"/>
      <c r="F126" s="532"/>
      <c r="G126" s="532"/>
      <c r="H126" s="532"/>
      <c r="I126" s="3156" t="s">
        <v>633</v>
      </c>
      <c r="J126" s="3144"/>
      <c r="K126" s="3144"/>
      <c r="L126" s="3145"/>
      <c r="M126" s="22"/>
      <c r="N126" s="11"/>
      <c r="O126" s="11"/>
    </row>
    <row r="127" spans="1:15" ht="16.5">
      <c r="A127" s="86"/>
      <c r="B127" s="21"/>
      <c r="C127" s="552"/>
      <c r="D127" s="9"/>
      <c r="E127" s="547"/>
      <c r="F127" s="532"/>
      <c r="G127" s="532"/>
      <c r="H127" s="532"/>
      <c r="I127" s="1546" t="s">
        <v>709</v>
      </c>
      <c r="J127" s="1546" t="s">
        <v>710</v>
      </c>
      <c r="K127" s="1544" t="s">
        <v>711</v>
      </c>
      <c r="L127" s="1545" t="s">
        <v>716</v>
      </c>
      <c r="M127" s="22"/>
      <c r="N127" s="11"/>
      <c r="O127" s="11"/>
    </row>
    <row r="128" spans="1:15" ht="16.5">
      <c r="A128" s="86"/>
      <c r="B128" s="2691" t="s">
        <v>1702</v>
      </c>
      <c r="C128" s="548">
        <f>IF(D124="yes",'Esca (EnVer)'!$J$77,0)</f>
        <v>0</v>
      </c>
      <c r="D128" s="1206" t="s">
        <v>648</v>
      </c>
      <c r="E128" s="13"/>
      <c r="F128" s="9"/>
      <c r="G128" s="9"/>
      <c r="H128" s="9"/>
      <c r="I128" s="1235">
        <f>$C128*1000000/$E$148</f>
        <v>0</v>
      </c>
      <c r="J128" s="1235">
        <v>0</v>
      </c>
      <c r="K128" s="1235">
        <v>0</v>
      </c>
      <c r="L128" s="1298">
        <f>I128*'Standard values'!$D$10+J128*'Standard values'!$D$11+K128*'Standard values'!$D$12</f>
        <v>0</v>
      </c>
      <c r="M128" s="22"/>
      <c r="N128" s="11"/>
      <c r="O128" s="11"/>
    </row>
    <row r="129" spans="1:15">
      <c r="A129" s="13"/>
      <c r="B129" s="41"/>
      <c r="C129" s="41"/>
      <c r="D129" s="87"/>
      <c r="E129" s="13"/>
      <c r="F129" s="9"/>
      <c r="G129" s="9"/>
      <c r="H129" s="9"/>
      <c r="I129" s="13"/>
      <c r="J129" s="13"/>
      <c r="K129" s="1235"/>
      <c r="L129" s="106">
        <f>SUM(L128:L128)</f>
        <v>0</v>
      </c>
      <c r="M129" s="22"/>
      <c r="N129" s="11"/>
      <c r="O129" s="11"/>
    </row>
    <row r="130" spans="1:15">
      <c r="A130" s="13"/>
      <c r="B130" s="41"/>
      <c r="C130" s="41"/>
      <c r="D130" s="87"/>
      <c r="E130" s="13"/>
      <c r="F130" s="9"/>
      <c r="G130" s="9"/>
      <c r="H130" s="9"/>
      <c r="I130" s="13"/>
      <c r="J130" s="13"/>
      <c r="K130" s="1235"/>
      <c r="L130" s="106"/>
      <c r="M130" s="22"/>
      <c r="N130" s="11"/>
      <c r="O130" s="11"/>
    </row>
    <row r="131" spans="1:15" ht="14.25">
      <c r="A131" s="161"/>
      <c r="B131" s="162"/>
      <c r="C131" s="162"/>
      <c r="D131" s="162"/>
      <c r="E131" s="161"/>
      <c r="F131" s="163"/>
      <c r="G131" s="163"/>
      <c r="H131" s="163" t="s">
        <v>792</v>
      </c>
      <c r="I131" s="161"/>
      <c r="J131" s="3326" t="s">
        <v>743</v>
      </c>
      <c r="K131" s="3326"/>
      <c r="L131" s="166">
        <f>L129</f>
        <v>0</v>
      </c>
      <c r="M131" s="22"/>
      <c r="N131" s="11"/>
      <c r="O131" s="11"/>
    </row>
    <row r="132" spans="1:15">
      <c r="A132" s="11"/>
      <c r="B132" s="11"/>
      <c r="C132" s="11"/>
      <c r="D132" s="11"/>
      <c r="E132" s="11"/>
      <c r="F132" s="43"/>
      <c r="G132" s="43"/>
      <c r="H132" s="43"/>
      <c r="I132" s="11"/>
      <c r="J132" s="44"/>
      <c r="K132" s="45"/>
      <c r="L132" s="67"/>
      <c r="M132" s="22"/>
      <c r="N132" s="11"/>
      <c r="O132" s="11"/>
    </row>
    <row r="133" spans="1:15">
      <c r="A133" s="11"/>
      <c r="B133" s="11"/>
      <c r="C133" s="11"/>
      <c r="D133" s="1547" t="s">
        <v>748</v>
      </c>
      <c r="E133" s="11"/>
      <c r="F133" s="43"/>
      <c r="G133" s="43"/>
      <c r="H133" s="43"/>
      <c r="I133" s="11"/>
      <c r="J133" s="44"/>
      <c r="K133" s="45"/>
      <c r="L133" s="67"/>
      <c r="M133" s="22"/>
      <c r="N133" s="11"/>
      <c r="O133" s="11"/>
    </row>
    <row r="134" spans="1:15" ht="18.75">
      <c r="A134" s="168" t="s">
        <v>650</v>
      </c>
      <c r="B134" s="180"/>
      <c r="C134" s="181"/>
      <c r="D134" s="169"/>
      <c r="E134" s="182"/>
      <c r="F134" s="169"/>
      <c r="G134" s="169"/>
      <c r="H134" s="169"/>
      <c r="I134" s="182"/>
      <c r="J134" s="169"/>
      <c r="K134" s="169"/>
      <c r="L134" s="183"/>
      <c r="M134" s="22"/>
      <c r="N134" s="11"/>
      <c r="O134" s="11"/>
    </row>
    <row r="135" spans="1:15" ht="15.75">
      <c r="A135" s="86"/>
      <c r="B135" s="21" t="s">
        <v>1188</v>
      </c>
      <c r="C135" s="19"/>
      <c r="D135" s="9"/>
      <c r="E135" s="13"/>
      <c r="F135" s="9"/>
      <c r="G135" s="9"/>
      <c r="H135" s="9"/>
      <c r="I135" s="3156" t="s">
        <v>633</v>
      </c>
      <c r="J135" s="3144"/>
      <c r="K135" s="3144"/>
      <c r="L135" s="3145"/>
      <c r="M135" s="22"/>
      <c r="N135" s="11"/>
      <c r="O135" s="11"/>
    </row>
    <row r="136" spans="1:15" ht="15.75">
      <c r="A136" s="13"/>
      <c r="B136" s="41"/>
      <c r="C136" s="424">
        <v>0</v>
      </c>
      <c r="D136" s="1206" t="s">
        <v>607</v>
      </c>
      <c r="E136" s="13"/>
      <c r="F136" s="9"/>
      <c r="G136" s="9"/>
      <c r="H136" s="9"/>
      <c r="I136" s="13"/>
      <c r="J136" s="9"/>
      <c r="K136" s="1280"/>
      <c r="L136" s="550">
        <f>C136</f>
        <v>0</v>
      </c>
      <c r="M136" s="22"/>
      <c r="N136" s="11"/>
      <c r="O136" s="11"/>
    </row>
    <row r="137" spans="1:15" ht="14.25">
      <c r="A137" s="161"/>
      <c r="B137" s="162"/>
      <c r="C137" s="209"/>
      <c r="D137" s="162"/>
      <c r="E137" s="161"/>
      <c r="F137" s="163"/>
      <c r="G137" s="163"/>
      <c r="H137" s="163" t="s">
        <v>792</v>
      </c>
      <c r="I137" s="161"/>
      <c r="J137" s="3326" t="s">
        <v>743</v>
      </c>
      <c r="K137" s="3331"/>
      <c r="L137" s="166">
        <f>C136</f>
        <v>0</v>
      </c>
      <c r="M137" s="22"/>
      <c r="N137" s="11"/>
      <c r="O137" s="11"/>
    </row>
    <row r="138" spans="1:15">
      <c r="A138" s="11"/>
      <c r="B138" s="11"/>
      <c r="C138" s="11"/>
      <c r="D138" s="11"/>
      <c r="E138" s="11"/>
      <c r="F138" s="43"/>
      <c r="G138" s="43"/>
      <c r="H138" s="43"/>
      <c r="I138" s="11"/>
      <c r="J138" s="44"/>
      <c r="K138" s="45"/>
      <c r="L138" s="67"/>
      <c r="M138" s="22"/>
      <c r="N138" s="11"/>
      <c r="O138" s="11"/>
    </row>
    <row r="139" spans="1:15">
      <c r="A139" s="11"/>
      <c r="B139" s="11"/>
      <c r="C139" s="11"/>
      <c r="D139" s="11"/>
      <c r="E139" s="11"/>
      <c r="F139" s="43"/>
      <c r="G139" s="43"/>
      <c r="H139" s="43"/>
      <c r="I139" s="11"/>
      <c r="J139" s="44"/>
      <c r="K139" s="45"/>
      <c r="L139" s="67"/>
      <c r="M139" s="22"/>
      <c r="N139" s="11"/>
      <c r="O139" s="11"/>
    </row>
    <row r="140" spans="1:15" ht="18.75">
      <c r="A140" s="168" t="s">
        <v>649</v>
      </c>
      <c r="B140" s="180"/>
      <c r="C140" s="181"/>
      <c r="D140" s="169"/>
      <c r="E140" s="182"/>
      <c r="F140" s="169"/>
      <c r="G140" s="169"/>
      <c r="H140" s="169"/>
      <c r="I140" s="182"/>
      <c r="J140" s="169"/>
      <c r="K140" s="169"/>
      <c r="L140" s="183"/>
      <c r="M140" s="22"/>
      <c r="N140" s="11"/>
      <c r="O140" s="11"/>
    </row>
    <row r="141" spans="1:15" ht="15.75">
      <c r="A141" s="86"/>
      <c r="B141" s="21" t="s">
        <v>1189</v>
      </c>
      <c r="C141" s="19"/>
      <c r="D141" s="9"/>
      <c r="E141" s="13"/>
      <c r="F141" s="9"/>
      <c r="G141" s="9"/>
      <c r="H141" s="9"/>
      <c r="I141" s="3156" t="s">
        <v>633</v>
      </c>
      <c r="J141" s="3144"/>
      <c r="K141" s="3144"/>
      <c r="L141" s="3145"/>
      <c r="M141" s="22"/>
      <c r="N141" s="11"/>
      <c r="O141" s="11"/>
    </row>
    <row r="142" spans="1:15" ht="15.75">
      <c r="A142" s="13"/>
      <c r="B142" s="41"/>
      <c r="C142" s="424">
        <v>0</v>
      </c>
      <c r="D142" s="1206" t="s">
        <v>607</v>
      </c>
      <c r="E142" s="13"/>
      <c r="F142" s="9"/>
      <c r="G142" s="9"/>
      <c r="H142" s="9"/>
      <c r="I142" s="13"/>
      <c r="J142" s="9"/>
      <c r="K142" s="1280"/>
      <c r="L142" s="550">
        <f>C142</f>
        <v>0</v>
      </c>
      <c r="M142" s="22"/>
      <c r="N142" s="11"/>
      <c r="O142" s="11"/>
    </row>
    <row r="143" spans="1:15" ht="14.25">
      <c r="A143" s="161"/>
      <c r="B143" s="162"/>
      <c r="C143" s="162"/>
      <c r="D143" s="162"/>
      <c r="E143" s="161"/>
      <c r="F143" s="163"/>
      <c r="G143" s="163"/>
      <c r="H143" s="163" t="s">
        <v>792</v>
      </c>
      <c r="I143" s="161"/>
      <c r="J143" s="3326" t="s">
        <v>743</v>
      </c>
      <c r="K143" s="3331"/>
      <c r="L143" s="166">
        <f>C142</f>
        <v>0</v>
      </c>
      <c r="M143" s="22"/>
      <c r="N143" s="11"/>
      <c r="O143" s="11"/>
    </row>
    <row r="144" spans="1:15">
      <c r="A144" s="11"/>
      <c r="B144" s="11"/>
      <c r="C144" s="11"/>
      <c r="D144" s="11"/>
      <c r="E144" s="11"/>
      <c r="F144" s="43"/>
      <c r="G144" s="43"/>
      <c r="H144" s="43"/>
      <c r="I144" s="11"/>
      <c r="J144" s="44"/>
      <c r="K144" s="45"/>
      <c r="L144" s="67"/>
      <c r="M144" s="22"/>
      <c r="N144" s="11"/>
      <c r="O144" s="11"/>
    </row>
    <row r="145" spans="1:15">
      <c r="A145" s="11"/>
      <c r="B145" s="11"/>
      <c r="C145" s="11"/>
      <c r="D145" s="11"/>
      <c r="E145" s="11"/>
      <c r="F145" s="43"/>
      <c r="G145" s="43"/>
      <c r="H145" s="43"/>
      <c r="I145" s="11"/>
      <c r="J145" s="44"/>
      <c r="K145" s="45"/>
      <c r="L145" s="67"/>
      <c r="M145" s="22"/>
      <c r="N145" s="11"/>
      <c r="O145" s="11"/>
    </row>
    <row r="146" spans="1:15">
      <c r="A146" s="3274" t="s">
        <v>651</v>
      </c>
      <c r="B146" s="169"/>
      <c r="C146" s="169"/>
      <c r="D146" s="169"/>
      <c r="E146" s="3327" t="s">
        <v>800</v>
      </c>
      <c r="F146" s="3276"/>
      <c r="G146" s="3276"/>
      <c r="H146" s="3328"/>
      <c r="I146" s="3202" t="s">
        <v>743</v>
      </c>
      <c r="J146" s="3202"/>
      <c r="K146" s="3202"/>
      <c r="L146" s="174">
        <f>L81+L93+L101+L117-L131-L137-L143</f>
        <v>43.561940066689054</v>
      </c>
      <c r="M146" s="22"/>
      <c r="N146" s="11"/>
      <c r="O146" s="11"/>
    </row>
    <row r="147" spans="1:15">
      <c r="A147" s="3275"/>
      <c r="B147" s="176"/>
      <c r="C147" s="176"/>
      <c r="D147" s="176"/>
      <c r="E147" s="3329"/>
      <c r="F147" s="3277"/>
      <c r="G147" s="3277"/>
      <c r="H147" s="3330"/>
      <c r="I147" s="3205"/>
      <c r="J147" s="3205"/>
      <c r="K147" s="3205"/>
      <c r="L147" s="178"/>
      <c r="M147" s="22"/>
      <c r="N147" s="11"/>
      <c r="O147" s="11"/>
    </row>
    <row r="148" spans="1:15" ht="15.75">
      <c r="A148" s="13"/>
      <c r="B148" s="9"/>
      <c r="C148" s="9"/>
      <c r="D148" s="1238" t="s">
        <v>652</v>
      </c>
      <c r="E148" s="1458">
        <f>E21*C45*C56*C85*C97</f>
        <v>31180.89775715406</v>
      </c>
      <c r="F148" s="1148" t="s">
        <v>509</v>
      </c>
      <c r="G148" s="9"/>
      <c r="H148" s="89"/>
      <c r="I148" s="9"/>
      <c r="J148" s="9"/>
      <c r="K148" s="9"/>
      <c r="L148" s="89"/>
      <c r="M148" s="22"/>
      <c r="N148" s="11"/>
      <c r="O148" s="11"/>
    </row>
    <row r="149" spans="1:15" ht="15.75">
      <c r="A149" s="13"/>
      <c r="B149" s="9"/>
      <c r="C149" s="9"/>
      <c r="D149" s="1238" t="s">
        <v>653</v>
      </c>
      <c r="E149" s="1459">
        <f>E148/E21</f>
        <v>0.5106181569991658</v>
      </c>
      <c r="F149" s="1148" t="s">
        <v>508</v>
      </c>
      <c r="G149" s="9"/>
      <c r="H149" s="89"/>
      <c r="I149" s="70"/>
      <c r="J149" s="9"/>
      <c r="K149" s="9"/>
      <c r="L149" s="89"/>
      <c r="M149" s="22"/>
      <c r="N149" s="11"/>
      <c r="O149" s="11"/>
    </row>
    <row r="150" spans="1:15">
      <c r="A150" s="13"/>
      <c r="B150" s="9"/>
      <c r="C150" s="9"/>
      <c r="D150" s="9"/>
      <c r="E150" s="13"/>
      <c r="F150" s="71"/>
      <c r="G150" s="71"/>
      <c r="H150" s="89"/>
      <c r="I150" s="70"/>
      <c r="J150" s="9"/>
      <c r="K150" s="9"/>
      <c r="L150" s="89"/>
      <c r="M150" s="22"/>
      <c r="N150" s="11"/>
      <c r="O150" s="11"/>
    </row>
    <row r="151" spans="1:15">
      <c r="A151" s="13"/>
      <c r="B151" s="9"/>
      <c r="C151" s="9"/>
      <c r="D151" s="9"/>
      <c r="E151" s="13"/>
      <c r="F151" s="71"/>
      <c r="G151" s="71"/>
      <c r="H151" s="89"/>
      <c r="I151" s="9"/>
      <c r="J151" s="9"/>
      <c r="K151" s="9"/>
      <c r="L151" s="89"/>
      <c r="M151" s="22"/>
      <c r="N151" s="11"/>
      <c r="O151" s="11"/>
    </row>
    <row r="152" spans="1:15" ht="14.25">
      <c r="A152" s="195"/>
      <c r="B152" s="196"/>
      <c r="C152" s="196"/>
      <c r="D152" s="196"/>
      <c r="E152" s="1462" t="s">
        <v>643</v>
      </c>
      <c r="F152" s="203"/>
      <c r="G152" s="203"/>
      <c r="H152" s="207"/>
      <c r="I152" s="204"/>
      <c r="J152" s="185" t="s">
        <v>743</v>
      </c>
      <c r="K152" s="204"/>
      <c r="L152" s="205">
        <f>L41+L51+L72+L93+L101+L117-L131-L137-L143</f>
        <v>78.481004191423708</v>
      </c>
      <c r="M152" s="22"/>
      <c r="N152" s="11"/>
      <c r="O152" s="11"/>
    </row>
    <row r="153" spans="1:15" ht="14.25">
      <c r="A153" s="198"/>
      <c r="B153" s="199"/>
      <c r="C153" s="197"/>
      <c r="D153" s="196"/>
      <c r="E153" s="1462" t="s">
        <v>742</v>
      </c>
      <c r="F153" s="204"/>
      <c r="G153" s="204"/>
      <c r="H153" s="207"/>
      <c r="I153" s="204"/>
      <c r="J153" s="185" t="s">
        <v>743</v>
      </c>
      <c r="K153" s="204"/>
      <c r="L153" s="206">
        <f>L81+L93+L101+L117-L131-L137-L143</f>
        <v>43.561940066689054</v>
      </c>
      <c r="M153" s="22"/>
      <c r="N153" s="11"/>
      <c r="O153" s="11"/>
    </row>
    <row r="154" spans="1:15">
      <c r="A154" s="195"/>
      <c r="B154" s="196"/>
      <c r="C154" s="196"/>
      <c r="D154" s="196"/>
      <c r="E154" s="1460"/>
      <c r="F154" s="204"/>
      <c r="G154" s="204"/>
      <c r="H154" s="207"/>
      <c r="I154" s="204"/>
      <c r="J154" s="204"/>
      <c r="K154" s="204"/>
      <c r="L154" s="207"/>
      <c r="M154" s="22"/>
      <c r="N154" s="11"/>
      <c r="O154" s="11"/>
    </row>
    <row r="155" spans="1:15">
      <c r="A155" s="200"/>
      <c r="B155" s="201"/>
      <c r="C155" s="201"/>
      <c r="D155" s="201"/>
      <c r="E155" s="1463" t="s">
        <v>644</v>
      </c>
      <c r="F155" s="194"/>
      <c r="G155" s="194"/>
      <c r="H155" s="1461"/>
      <c r="I155" s="194"/>
      <c r="J155" s="194"/>
      <c r="K155" s="194"/>
      <c r="L155" s="1290">
        <f>(83.8-L153)/83.8</f>
        <v>0.48016777963378215</v>
      </c>
      <c r="M155" s="22"/>
      <c r="N155" s="11"/>
      <c r="O155" s="11"/>
    </row>
    <row r="156" spans="1:15">
      <c r="M156" s="3"/>
    </row>
    <row r="157" spans="1:15">
      <c r="E157" s="2"/>
      <c r="F157" s="2"/>
      <c r="G157" s="2"/>
      <c r="H157" s="4"/>
      <c r="I157" s="2"/>
      <c r="J157" s="2"/>
      <c r="K157" s="2"/>
      <c r="L157" s="8"/>
      <c r="M157" s="3"/>
    </row>
    <row r="158" spans="1:15">
      <c r="F158" s="2"/>
      <c r="G158" s="2"/>
      <c r="H158" s="2"/>
      <c r="I158" s="68"/>
      <c r="J158" s="2"/>
      <c r="K158" s="2"/>
      <c r="L158" s="69"/>
      <c r="M158" s="34"/>
      <c r="N158" s="3"/>
    </row>
    <row r="159" spans="1:15">
      <c r="F159" s="2"/>
      <c r="G159" s="2"/>
      <c r="H159" s="2"/>
      <c r="I159" s="68"/>
      <c r="J159" s="2"/>
      <c r="K159" s="2"/>
      <c r="L159" s="69"/>
      <c r="M159" s="34"/>
      <c r="N159" s="3"/>
    </row>
    <row r="160" spans="1:15" ht="15.75">
      <c r="F160" s="35"/>
      <c r="G160" s="35"/>
      <c r="H160" s="2"/>
      <c r="I160" s="2"/>
      <c r="J160" s="2"/>
      <c r="K160" s="2"/>
      <c r="L160" s="2"/>
      <c r="M160" s="2"/>
      <c r="N160" s="3"/>
    </row>
    <row r="161" spans="6:14">
      <c r="F161" s="2"/>
      <c r="G161" s="2"/>
      <c r="H161" s="68"/>
      <c r="I161" s="2"/>
      <c r="J161" s="2"/>
      <c r="K161" s="2"/>
      <c r="L161" s="2"/>
      <c r="M161" s="2"/>
      <c r="N161" s="2"/>
    </row>
    <row r="162" spans="6:14">
      <c r="F162" s="68"/>
      <c r="G162" s="68"/>
      <c r="H162" s="2"/>
      <c r="I162" s="24"/>
      <c r="J162" s="2"/>
      <c r="K162" s="2"/>
      <c r="L162" s="2"/>
      <c r="M162" s="2"/>
      <c r="N162" s="2"/>
    </row>
    <row r="163" spans="6:14">
      <c r="F163" s="68"/>
      <c r="G163" s="68"/>
      <c r="H163" s="2"/>
      <c r="I163" s="24"/>
      <c r="J163" s="2"/>
      <c r="K163" s="2"/>
      <c r="L163" s="2"/>
      <c r="M163" s="2"/>
      <c r="N163" s="2"/>
    </row>
    <row r="164" spans="6:14">
      <c r="F164" s="2"/>
      <c r="G164" s="2"/>
      <c r="H164" s="34"/>
      <c r="I164" s="2"/>
      <c r="J164" s="2"/>
      <c r="K164" s="2"/>
      <c r="L164" s="2"/>
      <c r="M164" s="2"/>
      <c r="N164" s="2"/>
    </row>
    <row r="165" spans="6:14">
      <c r="F165" s="2"/>
      <c r="G165" s="2"/>
      <c r="H165" s="2"/>
      <c r="I165" s="2"/>
      <c r="J165" s="2"/>
      <c r="K165" s="2"/>
      <c r="L165" s="2"/>
      <c r="M165" s="2"/>
      <c r="N165" s="2"/>
    </row>
    <row r="166" spans="6:14">
      <c r="F166" s="2"/>
      <c r="G166" s="2"/>
      <c r="H166" s="2"/>
      <c r="I166" s="2"/>
      <c r="J166" s="2"/>
      <c r="K166" s="2"/>
      <c r="L166" s="2"/>
      <c r="M166" s="2"/>
      <c r="N166" s="2"/>
    </row>
    <row r="167" spans="6:14">
      <c r="F167" s="2"/>
      <c r="G167" s="2"/>
      <c r="H167" s="2"/>
      <c r="I167" s="2"/>
      <c r="J167" s="2"/>
      <c r="K167" s="2"/>
      <c r="L167" s="2"/>
      <c r="M167" s="2"/>
      <c r="N167" s="2"/>
    </row>
    <row r="168" spans="6:14">
      <c r="F168" s="2"/>
      <c r="G168" s="2"/>
      <c r="H168" s="2"/>
      <c r="I168" s="2"/>
      <c r="J168" s="2"/>
      <c r="K168" s="2"/>
      <c r="L168" s="2"/>
      <c r="M168" s="2"/>
      <c r="N168" s="2"/>
    </row>
    <row r="169" spans="6:14">
      <c r="F169" s="2"/>
      <c r="G169" s="2"/>
      <c r="H169" s="2"/>
      <c r="I169" s="2"/>
      <c r="J169" s="2"/>
      <c r="K169" s="2"/>
      <c r="L169" s="2"/>
      <c r="M169" s="2"/>
      <c r="N169" s="2"/>
    </row>
    <row r="170" spans="6:14">
      <c r="F170" s="2"/>
      <c r="G170" s="2"/>
      <c r="H170" s="2"/>
      <c r="I170" s="2"/>
      <c r="J170" s="2"/>
      <c r="K170" s="2"/>
      <c r="L170" s="2"/>
      <c r="M170" s="2"/>
      <c r="N170" s="2"/>
    </row>
    <row r="171" spans="6:14">
      <c r="F171" s="2"/>
      <c r="G171" s="2"/>
      <c r="H171" s="2"/>
      <c r="I171" s="2"/>
      <c r="J171" s="2"/>
      <c r="K171" s="2"/>
      <c r="L171" s="2"/>
      <c r="M171" s="2"/>
      <c r="N171" s="2"/>
    </row>
    <row r="172" spans="6:14">
      <c r="F172" s="2"/>
      <c r="G172" s="2"/>
      <c r="H172" s="2"/>
      <c r="I172" s="2"/>
      <c r="J172" s="2"/>
      <c r="K172" s="2"/>
      <c r="L172" s="2"/>
      <c r="M172" s="2"/>
      <c r="N172" s="2"/>
    </row>
    <row r="173" spans="6:14">
      <c r="F173" s="2"/>
      <c r="G173" s="2"/>
      <c r="H173" s="2"/>
      <c r="I173" s="2"/>
      <c r="J173" s="2"/>
      <c r="K173" s="2"/>
      <c r="L173" s="2"/>
      <c r="M173" s="2"/>
      <c r="N173" s="2"/>
    </row>
    <row r="174" spans="6:14">
      <c r="F174" s="2"/>
      <c r="G174" s="2"/>
      <c r="H174" s="2"/>
      <c r="I174" s="2"/>
      <c r="J174" s="2"/>
      <c r="K174" s="2"/>
      <c r="L174" s="2"/>
      <c r="M174" s="2"/>
      <c r="N174" s="2"/>
    </row>
    <row r="175" spans="6:14">
      <c r="F175" s="2"/>
      <c r="G175" s="2"/>
      <c r="H175" s="2"/>
      <c r="I175" s="2"/>
      <c r="J175" s="2"/>
      <c r="K175" s="2"/>
      <c r="L175" s="2"/>
      <c r="M175" s="2"/>
      <c r="N175" s="2"/>
    </row>
    <row r="176" spans="6:14">
      <c r="F176" s="2"/>
      <c r="G176" s="2"/>
      <c r="H176" s="2"/>
      <c r="I176" s="2"/>
      <c r="J176" s="2"/>
      <c r="K176" s="2"/>
      <c r="L176" s="2"/>
      <c r="M176" s="2"/>
      <c r="N176" s="2"/>
    </row>
  </sheetData>
  <customSheetViews>
    <customSheetView guid="{AD88818B-9F97-4B1E-9426-0DECE603685E}" scale="80" showGridLines="0" fitToPage="1" showRuler="0">
      <pane ySplit="18" topLeftCell="A19"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 guid="{7EB5D807-CE20-46E2-AEE6-2C193E010EA4}" scale="80" showGridLines="0" fitToPage="1" showRuler="0">
      <pane ySplit="18" topLeftCell="A19"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s>
  <mergeCells count="61">
    <mergeCell ref="I126:L126"/>
    <mergeCell ref="F108:L109"/>
    <mergeCell ref="A146:A147"/>
    <mergeCell ref="E146:H147"/>
    <mergeCell ref="I146:K147"/>
    <mergeCell ref="J131:K131"/>
    <mergeCell ref="J137:K137"/>
    <mergeCell ref="I135:L135"/>
    <mergeCell ref="I141:L141"/>
    <mergeCell ref="J143:K143"/>
    <mergeCell ref="A97:B97"/>
    <mergeCell ref="I110:L110"/>
    <mergeCell ref="J117:K117"/>
    <mergeCell ref="I121:L121"/>
    <mergeCell ref="F106:L107"/>
    <mergeCell ref="J93:K93"/>
    <mergeCell ref="I97:L97"/>
    <mergeCell ref="E96:H96"/>
    <mergeCell ref="I96:L96"/>
    <mergeCell ref="J101:K101"/>
    <mergeCell ref="E75:H76"/>
    <mergeCell ref="I75:K76"/>
    <mergeCell ref="E84:H84"/>
    <mergeCell ref="I84:L84"/>
    <mergeCell ref="I85:L85"/>
    <mergeCell ref="E77:H77"/>
    <mergeCell ref="I62:L62"/>
    <mergeCell ref="I55:L55"/>
    <mergeCell ref="E60:H61"/>
    <mergeCell ref="A55:B55"/>
    <mergeCell ref="E44:H44"/>
    <mergeCell ref="I44:L44"/>
    <mergeCell ref="I45:L45"/>
    <mergeCell ref="N7:O7"/>
    <mergeCell ref="A20:D20"/>
    <mergeCell ref="E19:H19"/>
    <mergeCell ref="I19:L19"/>
    <mergeCell ref="I41:K41"/>
    <mergeCell ref="I20:L20"/>
    <mergeCell ref="N19:O19"/>
    <mergeCell ref="N46:N47"/>
    <mergeCell ref="E54:H54"/>
    <mergeCell ref="I54:L54"/>
    <mergeCell ref="A46:A47"/>
    <mergeCell ref="A49:A50"/>
    <mergeCell ref="B49:B50"/>
    <mergeCell ref="B46:B47"/>
    <mergeCell ref="C49:C50"/>
    <mergeCell ref="A2:O2"/>
    <mergeCell ref="A3:O3"/>
    <mergeCell ref="A4:A5"/>
    <mergeCell ref="B4:B5"/>
    <mergeCell ref="C4:C5"/>
    <mergeCell ref="D4:D5"/>
    <mergeCell ref="E4:E5"/>
    <mergeCell ref="F4:F5"/>
    <mergeCell ref="J5:L5"/>
    <mergeCell ref="H4:H5"/>
    <mergeCell ref="J4:L4"/>
    <mergeCell ref="N4:O4"/>
    <mergeCell ref="N5:O5"/>
  </mergeCells>
  <phoneticPr fontId="0" type="noConversion"/>
  <conditionalFormatting sqref="O9:O17">
    <cfRule type="cellIs" dxfId="14" priority="6" stopIfTrue="1" operator="notBetween">
      <formula>-0.05</formula>
      <formula>0.05</formula>
    </cfRule>
  </conditionalFormatting>
  <conditionalFormatting sqref="E7">
    <cfRule type="expression" dxfId="13" priority="4" stopIfTrue="1">
      <formula>($E7&lt;&gt;"")</formula>
    </cfRule>
  </conditionalFormatting>
  <conditionalFormatting sqref="E9">
    <cfRule type="expression" dxfId="12" priority="3" stopIfTrue="1">
      <formula>($E9&lt;&gt;"")</formula>
    </cfRule>
  </conditionalFormatting>
  <conditionalFormatting sqref="E11">
    <cfRule type="expression" dxfId="11" priority="2" stopIfTrue="1">
      <formula>($E11&lt;&gt;"")</formula>
    </cfRule>
  </conditionalFormatting>
  <conditionalFormatting sqref="E12:E13">
    <cfRule type="expression" dxfId="10" priority="1" stopIfTrue="1">
      <formula>($E12&lt;&gt;"")</formula>
    </cfRule>
  </conditionalFormatting>
  <dataValidations count="3">
    <dataValidation type="list" showDropDown="1" showInputMessage="1" showErrorMessage="1" errorTitle="Wrong input" error="Only values &quot;0&quot; and &quot;-29&quot; are allowed_x000a_" sqref="C114">
      <formula1>"0,-29"</formula1>
    </dataValidation>
    <dataValidation type="list" allowBlank="1" showInputMessage="1" showErrorMessage="1" sqref="F10 F8 F6">
      <formula1>"A,D"</formula1>
    </dataValidation>
    <dataValidation type="list" allowBlank="1" showInputMessage="1" showErrorMessage="1" sqref="E7 E9 E11:E13">
      <formula1>"- ,Individual result of previous calculation, Combined result of previous calculation"</formula1>
    </dataValidation>
  </dataValidations>
  <hyperlinks>
    <hyperlink ref="C125" location="Esca!A1" display="Esca!A1"/>
    <hyperlink ref="C109" location="LUC!A1" display="LUC!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sheetPr codeName="Blad19">
    <pageSetUpPr fitToPage="1"/>
  </sheetPr>
  <dimension ref="A1:O176"/>
  <sheetViews>
    <sheetView showGridLines="0" zoomScale="70" zoomScaleNormal="70" workbookViewId="0">
      <pane ySplit="18" topLeftCell="A71" activePane="bottomLeft" state="frozen"/>
      <selection pane="bottomLeft" activeCell="Q76" sqref="Q76"/>
    </sheetView>
  </sheetViews>
  <sheetFormatPr defaultColWidth="8.85546875" defaultRowHeight="12.75"/>
  <cols>
    <col min="1" max="1" width="22.42578125" style="2184" customWidth="1"/>
    <col min="2" max="2" width="25.85546875" style="2184" customWidth="1"/>
    <col min="3" max="3" width="9.7109375" style="2184" customWidth="1"/>
    <col min="4" max="4" width="20.140625" style="2184" customWidth="1"/>
    <col min="5" max="5" width="14.85546875" style="2184" customWidth="1"/>
    <col min="6" max="6" width="8.42578125" style="2184" customWidth="1"/>
    <col min="7" max="7" width="2.85546875" style="2184" customWidth="1"/>
    <col min="8" max="8" width="19.42578125" style="2184" customWidth="1"/>
    <col min="9" max="12" width="9.140625" style="2184" customWidth="1"/>
    <col min="13" max="13" width="2.42578125" style="2184" customWidth="1"/>
    <col min="14" max="14" width="16.7109375" style="2184" customWidth="1"/>
    <col min="15" max="15" width="13.7109375" style="2184" customWidth="1"/>
    <col min="16" max="16384" width="8.85546875" style="2183"/>
  </cols>
  <sheetData>
    <row r="1" spans="1:15" ht="102" customHeight="1"/>
    <row r="2" spans="1:15" ht="122.25" customHeight="1">
      <c r="A2" s="2470" t="s">
        <v>193</v>
      </c>
      <c r="B2" s="2469" t="s">
        <v>1408</v>
      </c>
      <c r="C2" s="2468" t="s">
        <v>1417</v>
      </c>
      <c r="D2" s="2468" t="s">
        <v>96</v>
      </c>
      <c r="E2" s="2468"/>
      <c r="F2" s="2468"/>
      <c r="G2" s="2468" t="s">
        <v>95</v>
      </c>
      <c r="H2" s="2466"/>
      <c r="I2" s="2462"/>
      <c r="J2" s="2465"/>
      <c r="K2" s="2464"/>
      <c r="L2" s="2463"/>
      <c r="M2" s="2462"/>
      <c r="N2" s="2462"/>
      <c r="O2" s="2461" t="str">
        <f>[3]About!D2</f>
        <v>Version 4 - Public</v>
      </c>
    </row>
    <row r="3" spans="1:15" ht="27.75" customHeight="1">
      <c r="A3" s="2460" t="s">
        <v>190</v>
      </c>
      <c r="B3" s="2458"/>
      <c r="C3" s="2459"/>
      <c r="D3" s="2459"/>
      <c r="E3" s="2458"/>
      <c r="F3" s="2458"/>
      <c r="G3" s="2458"/>
      <c r="H3" s="2295"/>
      <c r="I3" s="2233"/>
      <c r="J3" s="2457"/>
      <c r="K3" s="2297"/>
      <c r="L3" s="2457"/>
      <c r="M3" s="2457"/>
      <c r="N3" s="2194"/>
      <c r="O3" s="2297"/>
    </row>
    <row r="4" spans="1:15" ht="16.5" customHeight="1">
      <c r="A4" s="2456" t="s">
        <v>189</v>
      </c>
      <c r="B4" s="2455" t="s">
        <v>188</v>
      </c>
      <c r="C4" s="2455" t="s">
        <v>150</v>
      </c>
      <c r="D4" s="2455" t="s">
        <v>187</v>
      </c>
      <c r="E4" s="2454" t="s">
        <v>151</v>
      </c>
      <c r="F4" s="2453" t="s">
        <v>186</v>
      </c>
      <c r="G4" s="2452"/>
      <c r="H4" s="2451" t="s">
        <v>185</v>
      </c>
      <c r="I4" s="2293"/>
      <c r="J4" s="2449" t="s">
        <v>184</v>
      </c>
      <c r="K4" s="2226"/>
      <c r="L4" s="2450"/>
      <c r="M4" s="2193"/>
      <c r="N4" s="2449" t="s">
        <v>183</v>
      </c>
      <c r="O4" s="2448"/>
    </row>
    <row r="5" spans="1:15" ht="16.5" customHeight="1">
      <c r="A5" s="2447" t="s">
        <v>182</v>
      </c>
      <c r="B5" s="2446" t="s">
        <v>180</v>
      </c>
      <c r="C5" s="2446" t="s">
        <v>181</v>
      </c>
      <c r="D5" s="2446" t="s">
        <v>180</v>
      </c>
      <c r="E5" s="2445"/>
      <c r="F5" s="2444" t="s">
        <v>179</v>
      </c>
      <c r="G5" s="2443"/>
      <c r="H5" s="2442" t="s">
        <v>178</v>
      </c>
      <c r="I5" s="2193"/>
      <c r="J5" s="2412" t="str">
        <f>A54</f>
        <v>Ethanol plant</v>
      </c>
      <c r="K5" s="2441"/>
      <c r="L5" s="2429"/>
      <c r="M5" s="2193"/>
      <c r="N5" s="2412" t="s">
        <v>177</v>
      </c>
      <c r="O5" s="2429"/>
    </row>
    <row r="6" spans="1:15" ht="16.5" customHeight="1">
      <c r="A6" s="2424" t="s">
        <v>176</v>
      </c>
      <c r="B6" s="2440"/>
      <c r="C6" s="2439"/>
      <c r="D6" s="2438"/>
      <c r="E6" s="2437">
        <f>IF(F6="A",D7,H6)</f>
        <v>20.167712876062701</v>
      </c>
      <c r="F6" s="2422" t="s">
        <v>1486</v>
      </c>
      <c r="G6" s="2421"/>
      <c r="H6" s="2420">
        <v>20</v>
      </c>
      <c r="I6" s="2193"/>
      <c r="J6" s="2436">
        <f>F78/F80</f>
        <v>0.54615664300320521</v>
      </c>
      <c r="K6" s="2315" t="s">
        <v>1438</v>
      </c>
      <c r="L6" s="2435"/>
      <c r="M6" s="2193"/>
      <c r="N6" s="2434">
        <v>83.8</v>
      </c>
      <c r="O6" s="2433" t="s">
        <v>175</v>
      </c>
    </row>
    <row r="7" spans="1:15" ht="12" customHeight="1">
      <c r="A7" s="2412" t="str">
        <f>A19</f>
        <v>Cultivation of corn</v>
      </c>
      <c r="B7" s="2411">
        <f>L41</f>
        <v>36.92660912291484</v>
      </c>
      <c r="C7" s="2419">
        <f>J6</f>
        <v>0.54615664300320521</v>
      </c>
      <c r="D7" s="2247">
        <f>C7*B7</f>
        <v>20.167712876062701</v>
      </c>
      <c r="E7" s="2426"/>
      <c r="F7" s="2417"/>
      <c r="G7" s="2417"/>
      <c r="H7" s="2254">
        <f>20.18</f>
        <v>20.18</v>
      </c>
      <c r="I7" s="2193"/>
      <c r="J7" s="2432">
        <f>1-J6</f>
        <v>0.45384335699679479</v>
      </c>
      <c r="K7" s="2431" t="s">
        <v>1439</v>
      </c>
      <c r="L7" s="2430"/>
      <c r="M7" s="2193"/>
      <c r="N7" s="2412" t="s">
        <v>173</v>
      </c>
      <c r="O7" s="2429"/>
    </row>
    <row r="8" spans="1:15" ht="16.5" customHeight="1">
      <c r="A8" s="2424" t="s">
        <v>172</v>
      </c>
      <c r="B8" s="2201"/>
      <c r="C8" s="2201"/>
      <c r="D8" s="2423"/>
      <c r="E8" s="2404">
        <f>IF(F8="A",D9,H8)</f>
        <v>21.577369228799146</v>
      </c>
      <c r="F8" s="2422" t="s">
        <v>1486</v>
      </c>
      <c r="G8" s="2421"/>
      <c r="H8" s="2420">
        <v>21</v>
      </c>
      <c r="I8" s="2193"/>
      <c r="J8" s="2193"/>
      <c r="K8" s="2193"/>
      <c r="L8" s="2193"/>
      <c r="M8" s="2193"/>
      <c r="N8" s="2428">
        <f>(N6-E16)/N6</f>
        <v>0.48016777963378221</v>
      </c>
      <c r="O8" s="2427"/>
    </row>
    <row r="9" spans="1:15" ht="12" customHeight="1">
      <c r="A9" s="2412" t="str">
        <f>A54</f>
        <v>Ethanol plant</v>
      </c>
      <c r="B9" s="2411">
        <f>L72</f>
        <v>39.507656832936327</v>
      </c>
      <c r="C9" s="2419">
        <f>J6</f>
        <v>0.54615664300320521</v>
      </c>
      <c r="D9" s="2247">
        <f>C9*B9</f>
        <v>21.577369228799146</v>
      </c>
      <c r="E9" s="2426"/>
      <c r="F9" s="2417"/>
      <c r="G9" s="2417"/>
      <c r="H9" s="2254">
        <f>1.4*14.97</f>
        <v>20.957999999999998</v>
      </c>
      <c r="I9" s="2193"/>
      <c r="J9" s="2193"/>
      <c r="K9" s="2193"/>
      <c r="L9" s="2193"/>
      <c r="M9" s="2193"/>
      <c r="N9" s="2193"/>
      <c r="O9" s="2425"/>
    </row>
    <row r="10" spans="1:15" ht="16.5" customHeight="1" thickBot="1">
      <c r="A10" s="2424" t="s">
        <v>171</v>
      </c>
      <c r="B10" s="2201"/>
      <c r="C10" s="2201"/>
      <c r="D10" s="2423"/>
      <c r="E10" s="2404">
        <f>IF(F10="A",D11+D12+D13, H10)</f>
        <v>1.8168579618271976</v>
      </c>
      <c r="F10" s="2422" t="s">
        <v>1486</v>
      </c>
      <c r="G10" s="2421"/>
      <c r="H10" s="2420">
        <v>2</v>
      </c>
      <c r="I10" s="2193"/>
      <c r="J10" s="2193"/>
      <c r="K10" s="2193"/>
      <c r="L10" s="2193"/>
      <c r="M10" s="2193"/>
      <c r="N10" s="2193"/>
      <c r="O10" s="2329"/>
    </row>
    <row r="11" spans="1:15" ht="12" customHeight="1">
      <c r="A11" s="2412" t="str">
        <f>A44</f>
        <v>Transport of corn</v>
      </c>
      <c r="B11" s="2411">
        <f>L51</f>
        <v>0.50651897885324026</v>
      </c>
      <c r="C11" s="2419">
        <f>J6</f>
        <v>0.54615664300320521</v>
      </c>
      <c r="D11" s="2247">
        <f>C11*B11</f>
        <v>0.27663870510789718</v>
      </c>
      <c r="E11" s="2418"/>
      <c r="F11" s="2417"/>
      <c r="G11" s="2417"/>
      <c r="H11" s="2254">
        <f>0.28</f>
        <v>0.28000000000000003</v>
      </c>
      <c r="I11" s="2193"/>
      <c r="J11" s="2416" t="s">
        <v>170</v>
      </c>
      <c r="K11" s="2381"/>
      <c r="L11" s="2381"/>
      <c r="M11" s="2381"/>
      <c r="N11" s="2415"/>
      <c r="O11" s="2495"/>
    </row>
    <row r="12" spans="1:15" ht="12" customHeight="1">
      <c r="A12" s="2412" t="str">
        <f>A84</f>
        <v>Transport of ethanol</v>
      </c>
      <c r="B12" s="2411">
        <f>L93</f>
        <v>1.0989339178304116</v>
      </c>
      <c r="C12" s="2410">
        <v>1</v>
      </c>
      <c r="D12" s="2247">
        <f>C12*B12</f>
        <v>1.0989339178304116</v>
      </c>
      <c r="E12" s="2337"/>
      <c r="F12" s="2298"/>
      <c r="G12" s="2298"/>
      <c r="H12" s="2254">
        <f>1.1</f>
        <v>1.1000000000000001</v>
      </c>
      <c r="I12" s="2193"/>
      <c r="J12" s="2401"/>
      <c r="K12" s="2376"/>
      <c r="L12" s="2376"/>
      <c r="M12" s="2376"/>
      <c r="N12" s="2413"/>
      <c r="O12" s="2425"/>
    </row>
    <row r="13" spans="1:15" ht="12" customHeight="1">
      <c r="A13" s="2412" t="str">
        <f>A96</f>
        <v>Filling station</v>
      </c>
      <c r="B13" s="2411">
        <f>L101</f>
        <v>0.44128533888888882</v>
      </c>
      <c r="C13" s="2410">
        <v>1</v>
      </c>
      <c r="D13" s="2247">
        <f>C13*B13</f>
        <v>0.44128533888888882</v>
      </c>
      <c r="E13" s="2337"/>
      <c r="F13" s="2298"/>
      <c r="G13" s="2298"/>
      <c r="H13" s="2254">
        <f>0.44</f>
        <v>0.44</v>
      </c>
      <c r="I13" s="2193"/>
      <c r="J13" s="2401"/>
      <c r="K13" s="2376"/>
      <c r="L13" s="2376"/>
      <c r="M13" s="2377"/>
      <c r="N13" s="2409"/>
      <c r="O13" s="2425"/>
    </row>
    <row r="14" spans="1:15" ht="17.25" customHeight="1">
      <c r="A14" s="2407" t="s">
        <v>169</v>
      </c>
      <c r="B14" s="2405">
        <f>L117</f>
        <v>0</v>
      </c>
      <c r="C14" s="2408">
        <f>J6</f>
        <v>0.54615664300320521</v>
      </c>
      <c r="D14" s="2405">
        <f>C14*B14</f>
        <v>0</v>
      </c>
      <c r="E14" s="2404">
        <f>D14</f>
        <v>0</v>
      </c>
      <c r="F14" s="2403"/>
      <c r="G14" s="2403"/>
      <c r="H14" s="2402">
        <v>0</v>
      </c>
      <c r="I14" s="2193"/>
      <c r="J14" s="2401"/>
      <c r="K14" s="2376"/>
      <c r="L14" s="2376"/>
      <c r="M14" s="2392"/>
      <c r="N14" s="2391"/>
      <c r="O14" s="2487"/>
    </row>
    <row r="15" spans="1:15" ht="16.5" customHeight="1">
      <c r="A15" s="2407" t="s">
        <v>1194</v>
      </c>
      <c r="B15" s="2405">
        <f>L131+L137+L143</f>
        <v>0</v>
      </c>
      <c r="C15" s="2406">
        <v>1</v>
      </c>
      <c r="D15" s="2405">
        <f>C15*B15</f>
        <v>0</v>
      </c>
      <c r="E15" s="2404">
        <f>D15</f>
        <v>0</v>
      </c>
      <c r="F15" s="2403"/>
      <c r="G15" s="2403"/>
      <c r="H15" s="2402">
        <v>0</v>
      </c>
      <c r="I15" s="2193"/>
      <c r="J15" s="2401"/>
      <c r="K15" s="2376"/>
      <c r="L15" s="2376"/>
      <c r="M15" s="2392"/>
      <c r="N15" s="2391"/>
      <c r="O15" s="2487"/>
    </row>
    <row r="16" spans="1:15" ht="16.5" customHeight="1" thickBot="1">
      <c r="A16" s="2400" t="s">
        <v>168</v>
      </c>
      <c r="B16" s="2399">
        <f>SUM(B7:B14)-B15</f>
        <v>78.481004191423708</v>
      </c>
      <c r="C16" s="2398"/>
      <c r="D16" s="2398"/>
      <c r="E16" s="2485">
        <f>SUM(E6:E14)-E15</f>
        <v>43.561940066689047</v>
      </c>
      <c r="F16" s="2395"/>
      <c r="G16" s="2395"/>
      <c r="H16" s="2484">
        <v>43</v>
      </c>
      <c r="I16" s="2194"/>
      <c r="J16" s="2483" t="s">
        <v>167</v>
      </c>
      <c r="K16" s="2482"/>
      <c r="L16" s="2482"/>
      <c r="M16" s="2481"/>
      <c r="N16" s="2480"/>
      <c r="O16" s="2479"/>
    </row>
    <row r="17" spans="1:15" ht="16.5" customHeight="1">
      <c r="A17" s="2389"/>
      <c r="B17" s="2388"/>
      <c r="E17" s="2387" t="s">
        <v>166</v>
      </c>
      <c r="F17" s="2386"/>
      <c r="G17" s="2386"/>
      <c r="H17" s="2385"/>
      <c r="I17" s="2384"/>
      <c r="J17" s="2383"/>
      <c r="K17" s="2381"/>
      <c r="L17" s="2382"/>
      <c r="M17" s="2381"/>
      <c r="N17" s="2381"/>
      <c r="O17" s="2380"/>
    </row>
    <row r="18" spans="1:15" ht="22.5" customHeight="1" thickBot="1">
      <c r="A18" s="2379" t="s">
        <v>1452</v>
      </c>
      <c r="B18" s="2194"/>
      <c r="E18" s="2378" t="s">
        <v>165</v>
      </c>
      <c r="F18" s="2377"/>
      <c r="G18" s="2377"/>
      <c r="H18" s="2377"/>
      <c r="I18" s="2376"/>
      <c r="J18" s="2375"/>
      <c r="K18" s="2375"/>
      <c r="L18" s="2374"/>
      <c r="M18" s="2373"/>
      <c r="N18" s="2373"/>
      <c r="O18" s="2372"/>
    </row>
    <row r="19" spans="1:15" ht="15.75">
      <c r="A19" s="2229" t="s">
        <v>94</v>
      </c>
      <c r="B19" s="2370"/>
      <c r="C19" s="2370"/>
      <c r="D19" s="2370"/>
      <c r="E19" s="2371" t="s">
        <v>239</v>
      </c>
      <c r="F19" s="2368"/>
      <c r="G19" s="2368"/>
      <c r="H19" s="2370"/>
      <c r="I19" s="2369" t="s">
        <v>261</v>
      </c>
      <c r="J19" s="2368"/>
      <c r="K19" s="2368"/>
      <c r="L19" s="2367"/>
      <c r="M19" s="2366"/>
      <c r="N19" s="2371" t="s">
        <v>258</v>
      </c>
      <c r="O19" s="2494"/>
    </row>
    <row r="20" spans="1:15" ht="15.75">
      <c r="A20" s="2363"/>
      <c r="B20" s="2362" t="s">
        <v>1428</v>
      </c>
      <c r="C20" s="2361"/>
      <c r="D20" s="2361"/>
      <c r="E20" s="2360" t="s">
        <v>1428</v>
      </c>
      <c r="F20" s="2358"/>
      <c r="G20" s="2358"/>
      <c r="H20" s="2359"/>
      <c r="I20" s="2246" t="s">
        <v>243</v>
      </c>
      <c r="J20" s="2358"/>
      <c r="K20" s="2358"/>
      <c r="L20" s="2357"/>
      <c r="M20" s="2330"/>
      <c r="N20" s="2280" t="s">
        <v>89</v>
      </c>
      <c r="O20" s="2356" t="s">
        <v>163</v>
      </c>
    </row>
    <row r="21" spans="1:15" ht="16.5">
      <c r="A21" s="2355"/>
      <c r="B21" s="2212" t="s">
        <v>1435</v>
      </c>
      <c r="C21" s="2493">
        <v>3883.306836248013</v>
      </c>
      <c r="D21" s="2255" t="s">
        <v>1430</v>
      </c>
      <c r="E21" s="2492">
        <f>C21*(1-C22)*VLOOKUP($B21,'[3]Standard values'!$C$9:$S$159,14, FALSE)</f>
        <v>61065</v>
      </c>
      <c r="F21" s="2212" t="s">
        <v>90</v>
      </c>
      <c r="G21" s="2212"/>
      <c r="H21" s="2278"/>
      <c r="I21" s="2352" t="s">
        <v>1453</v>
      </c>
      <c r="J21" s="2352" t="s">
        <v>1454</v>
      </c>
      <c r="K21" s="2352" t="s">
        <v>245</v>
      </c>
      <c r="L21" s="2277" t="s">
        <v>1456</v>
      </c>
      <c r="M21" s="2194"/>
      <c r="N21" s="2258" t="s">
        <v>1456</v>
      </c>
      <c r="O21" s="2258" t="s">
        <v>162</v>
      </c>
    </row>
    <row r="22" spans="1:15" ht="15.75">
      <c r="A22" s="2214"/>
      <c r="B22" s="2212" t="s">
        <v>1425</v>
      </c>
      <c r="C22" s="2351">
        <v>0.15</v>
      </c>
      <c r="D22" s="2255"/>
      <c r="E22" s="2279">
        <v>1</v>
      </c>
      <c r="F22" s="2278" t="s">
        <v>83</v>
      </c>
      <c r="G22" s="2278"/>
      <c r="H22" s="2212"/>
      <c r="I22" s="2257"/>
      <c r="J22" s="2343"/>
      <c r="K22" s="2343"/>
      <c r="L22" s="2342"/>
      <c r="M22" s="2194"/>
      <c r="N22" s="2275"/>
      <c r="O22" s="2275"/>
    </row>
    <row r="23" spans="1:15" ht="15.75">
      <c r="A23" s="2214"/>
      <c r="B23" s="2212" t="s">
        <v>1197</v>
      </c>
      <c r="C23" s="2349"/>
      <c r="D23" s="2255" t="s">
        <v>1430</v>
      </c>
      <c r="E23" s="2321">
        <f>C21/E148</f>
        <v>0.12454121322908471</v>
      </c>
      <c r="F23" s="2278" t="s">
        <v>93</v>
      </c>
      <c r="G23" s="2278"/>
      <c r="H23" s="2212"/>
      <c r="I23" s="2217"/>
      <c r="J23" s="2217"/>
      <c r="K23" s="2217"/>
      <c r="L23" s="2350"/>
      <c r="M23" s="2194"/>
      <c r="N23" s="2275"/>
      <c r="O23" s="2275"/>
    </row>
    <row r="24" spans="1:15">
      <c r="A24" s="2214"/>
      <c r="B24" s="2212"/>
      <c r="C24" s="2348"/>
      <c r="D24" s="2255"/>
      <c r="E24" s="2321"/>
      <c r="F24" s="2278"/>
      <c r="G24" s="2278"/>
      <c r="H24" s="2212"/>
      <c r="I24" s="2217"/>
      <c r="J24" s="2217"/>
      <c r="K24" s="2217"/>
      <c r="L24" s="2350"/>
      <c r="M24" s="2194"/>
      <c r="N24" s="2275"/>
      <c r="O24" s="2275"/>
    </row>
    <row r="25" spans="1:15">
      <c r="A25" s="2214"/>
      <c r="B25" s="2265" t="s">
        <v>1429</v>
      </c>
      <c r="C25" s="2348"/>
      <c r="D25" s="2255"/>
      <c r="E25" s="2214"/>
      <c r="F25" s="2212"/>
      <c r="G25" s="2212"/>
      <c r="H25" s="2212"/>
      <c r="I25" s="2217"/>
      <c r="J25" s="2217"/>
      <c r="K25" s="2217"/>
      <c r="L25" s="2350"/>
      <c r="M25" s="2194"/>
      <c r="N25" s="2275"/>
      <c r="O25" s="2275"/>
    </row>
    <row r="26" spans="1:15" ht="14.25">
      <c r="A26" s="2214"/>
      <c r="B26" s="2212" t="s">
        <v>1413</v>
      </c>
      <c r="C26" s="2491">
        <v>3600</v>
      </c>
      <c r="D26" s="2255" t="s">
        <v>1431</v>
      </c>
      <c r="E26" s="2266"/>
      <c r="F26" s="2212"/>
      <c r="G26" s="2212"/>
      <c r="H26" s="2212"/>
      <c r="I26" s="2343">
        <f>$C26*VLOOKUP($B26,'[3]Standard values'!$C$9:$S$159,7, FALSE)/$E$148</f>
        <v>10.118374475847558</v>
      </c>
      <c r="J26" s="2343">
        <f>$C26*VLOOKUP($B26,'[3]Standard values'!$C$9:$S$159,8, FALSE)/$E$148</f>
        <v>0</v>
      </c>
      <c r="K26" s="2343">
        <f>$C26*VLOOKUP($B26,'[3]Standard values'!$C$9:$S$159,9, FALSE)/$E$148</f>
        <v>0</v>
      </c>
      <c r="L26" s="2342">
        <f>I26*'[3]Standard values'!$D$10+J26*'[3]Standard values'!$D$11+K26*'[3]Standard values'!$D$12</f>
        <v>10.118374475847558</v>
      </c>
      <c r="M26" s="2194"/>
      <c r="N26" s="2285">
        <f>+L26/E$23</f>
        <v>81.245189552116599</v>
      </c>
      <c r="O26" s="2341">
        <f>L26*$E$148/1000</f>
        <v>315.5</v>
      </c>
    </row>
    <row r="27" spans="1:15">
      <c r="A27" s="2214"/>
      <c r="B27" s="2212"/>
      <c r="C27" s="2348"/>
      <c r="D27" s="2255"/>
      <c r="E27" s="2266"/>
      <c r="F27" s="2212"/>
      <c r="G27" s="2212"/>
      <c r="H27" s="2212"/>
      <c r="I27" s="2343"/>
      <c r="J27" s="2343"/>
      <c r="K27" s="2343"/>
      <c r="L27" s="2342"/>
      <c r="M27" s="2194"/>
      <c r="N27" s="2285"/>
      <c r="O27" s="2341"/>
    </row>
    <row r="28" spans="1:15">
      <c r="A28" s="2214"/>
      <c r="B28" s="2265" t="s">
        <v>1449</v>
      </c>
      <c r="C28" s="2348"/>
      <c r="D28" s="2255"/>
      <c r="E28" s="2266"/>
      <c r="F28" s="2212"/>
      <c r="G28" s="2212"/>
      <c r="H28" s="2212"/>
      <c r="I28" s="2343"/>
      <c r="J28" s="2343"/>
      <c r="K28" s="2343"/>
      <c r="L28" s="2342"/>
      <c r="M28" s="2194"/>
      <c r="N28" s="2285"/>
      <c r="O28" s="2341"/>
    </row>
    <row r="29" spans="1:15" ht="14.25">
      <c r="A29" s="2214"/>
      <c r="B29" s="2212" t="s">
        <v>980</v>
      </c>
      <c r="C29" s="2347">
        <v>51.7</v>
      </c>
      <c r="D29" s="2255" t="s">
        <v>1432</v>
      </c>
      <c r="E29" s="2266"/>
      <c r="F29" s="2212"/>
      <c r="G29" s="2212"/>
      <c r="H29" s="2212"/>
      <c r="I29" s="2343">
        <f>$C29*VLOOKUP($B29,'[3]Standard values'!$C$9:$S$159,3, FALSE)/$E$148</f>
        <v>4.68736193769361</v>
      </c>
      <c r="J29" s="2343">
        <f>$C29*VLOOKUP($B29,'[3]Standard values'!$C$9:$S$159,4, FALSE)/$E$148</f>
        <v>1.43900269804468E-2</v>
      </c>
      <c r="K29" s="2343">
        <f>$C29*VLOOKUP($B29,'[3]Standard values'!$C$9:$S$159,5, FALSE)/$E$148</f>
        <v>1.5986744957836561E-2</v>
      </c>
      <c r="L29" s="2342">
        <f>I29*'[3]Standard values'!$D$10+J29*'[3]Standard values'!$D$11+K29*'[3]Standard values'!$D$12</f>
        <v>9.8111626096400748</v>
      </c>
      <c r="M29" s="2194"/>
      <c r="N29" s="2285">
        <f>+L29/E$23</f>
        <v>78.778440929374426</v>
      </c>
      <c r="O29" s="2341">
        <f>L29*$E$148/1000</f>
        <v>305.92085820999995</v>
      </c>
    </row>
    <row r="30" spans="1:15" ht="14.25">
      <c r="A30" s="2214"/>
      <c r="B30" s="2212" t="s">
        <v>983</v>
      </c>
      <c r="C30" s="2475">
        <v>1600</v>
      </c>
      <c r="D30" s="2255" t="s">
        <v>160</v>
      </c>
      <c r="E30" s="2266"/>
      <c r="F30" s="2212"/>
      <c r="G30" s="2212"/>
      <c r="H30" s="2212"/>
      <c r="I30" s="2343">
        <f>$C30*VLOOKUP($B30,'[3]Standard values'!$C$9:$S$159,3, FALSE)/$E$148</f>
        <v>6.1122550570652692</v>
      </c>
      <c r="J30" s="2343">
        <f>$C30*VLOOKUP($B30,'[3]Standard values'!$C$9:$S$159,4, FALSE)/$E$148</f>
        <v>1.1078577746233852E-2</v>
      </c>
      <c r="K30" s="2343">
        <f>$C30*VLOOKUP($B30,'[3]Standard values'!$C$9:$S$159,5, FALSE)/$E$148</f>
        <v>9.3903646482667669E-4</v>
      </c>
      <c r="L30" s="2342">
        <f>I30*'[3]Standard values'!$D$10+J30*'[3]Standard values'!$D$11+K30*'[3]Standard values'!$D$12</f>
        <v>6.6690523672394644</v>
      </c>
      <c r="M30" s="2194"/>
      <c r="N30" s="2285">
        <f>+L30/E$23</f>
        <v>53.548959371161871</v>
      </c>
      <c r="O30" s="2341">
        <f>L30*$E$148/1000</f>
        <v>207.94703999999999</v>
      </c>
    </row>
    <row r="31" spans="1:15" ht="15.75">
      <c r="A31" s="2214"/>
      <c r="B31" s="2212" t="s">
        <v>215</v>
      </c>
      <c r="C31" s="2347">
        <v>25.8</v>
      </c>
      <c r="D31" s="2255" t="s">
        <v>1433</v>
      </c>
      <c r="E31" s="2266"/>
      <c r="F31" s="2212"/>
      <c r="G31" s="2212"/>
      <c r="H31" s="2212"/>
      <c r="I31" s="2343">
        <f>$C31*VLOOKUP($B31,'[3]Standard values'!$C$9:$S$159,3, FALSE)/$E$148</f>
        <v>0.44375955201050354</v>
      </c>
      <c r="J31" s="2343">
        <f>$C31*VLOOKUP($B31,'[3]Standard values'!$C$9:$S$159,4, FALSE)/$E$148</f>
        <v>1.2998092715499536E-3</v>
      </c>
      <c r="K31" s="2343">
        <f>$C31*VLOOKUP($B31,'[3]Standard values'!$C$9:$S$159,5, FALSE)/$E$148</f>
        <v>1.0177384964074371E-5</v>
      </c>
      <c r="L31" s="2342">
        <f>I31*'[3]Standard values'!$D$10+J31*'[3]Standard values'!$D$11+K31*'[3]Standard values'!$D$12</f>
        <v>0.47928764451854655</v>
      </c>
      <c r="M31" s="2194"/>
      <c r="N31" s="2285">
        <f>+L31/E$23</f>
        <v>3.8484260116924589</v>
      </c>
      <c r="O31" s="2341">
        <f>L31*$E$148/1000</f>
        <v>14.944619040000001</v>
      </c>
    </row>
    <row r="32" spans="1:15" ht="15.75">
      <c r="A32" s="2214"/>
      <c r="B32" s="2212" t="s">
        <v>214</v>
      </c>
      <c r="C32" s="2347">
        <v>34.5</v>
      </c>
      <c r="D32" s="2255" t="s">
        <v>1434</v>
      </c>
      <c r="E32" s="2266"/>
      <c r="F32" s="2212"/>
      <c r="G32" s="2212"/>
      <c r="H32" s="2212"/>
      <c r="I32" s="2343">
        <f>$C32*VLOOKUP($B32,'[3]Standard values'!$C$9:$S$159,3, FALSE)/$E$148</f>
        <v>1.0675954396586402</v>
      </c>
      <c r="J32" s="2343">
        <f>$C32*VLOOKUP($B32,'[3]Standard values'!$C$9:$S$159,4, FALSE)/$E$148</f>
        <v>1.4726804968104024E-3</v>
      </c>
      <c r="K32" s="2343">
        <f>$C32*VLOOKUP($B32,'[3]Standard values'!$C$9:$S$159,5, FALSE)/$E$148</f>
        <v>5.6982002694016313E-5</v>
      </c>
      <c r="L32" s="2342">
        <f>I32*'[3]Standard values'!$D$10+J32*'[3]Standard values'!$D$11+K32*'[3]Standard values'!$D$12</f>
        <v>1.1213930888817172</v>
      </c>
      <c r="M32" s="2194"/>
      <c r="N32" s="2285">
        <f>+L32/E$23</f>
        <v>9.0041927471751411</v>
      </c>
      <c r="O32" s="2341">
        <f>L32*$E$148/1000</f>
        <v>34.966043249999998</v>
      </c>
    </row>
    <row r="33" spans="1:15" ht="14.25">
      <c r="A33" s="2214"/>
      <c r="B33" s="2212" t="s">
        <v>1410</v>
      </c>
      <c r="C33" s="2347">
        <v>2.4</v>
      </c>
      <c r="D33" s="2255" t="s">
        <v>1430</v>
      </c>
      <c r="E33" s="2266"/>
      <c r="F33" s="2345"/>
      <c r="G33" s="2345"/>
      <c r="H33" s="2345"/>
      <c r="I33" s="2343">
        <f>$C33*VLOOKUP($B33,'[3]Standard values'!$C$9:$S$159,3, FALSE)/$E$148</f>
        <v>0.76096605635916958</v>
      </c>
      <c r="J33" s="2343">
        <f>$C33*VLOOKUP($B33,'[3]Standard values'!$C$9:$S$159,4, FALSE)/$E$148</f>
        <v>1.9648260443669721E-3</v>
      </c>
      <c r="K33" s="2343">
        <f>$C33*VLOOKUP($B33,'[3]Standard values'!$C$9:$S$159,5, FALSE)/$E$148</f>
        <v>1.2941769770160444E-4</v>
      </c>
      <c r="L33" s="2342">
        <f>I33*'[3]Standard values'!$D$10+J33*'[3]Standard values'!$D$11+K33*'[3]Standard values'!$D$12</f>
        <v>0.84865318138342205</v>
      </c>
      <c r="M33" s="2194"/>
      <c r="N33" s="2285">
        <f>+L33/E$23</f>
        <v>6.8142357006141001</v>
      </c>
      <c r="O33" s="2341">
        <f>L33*$E$148/1000</f>
        <v>26.461768080000002</v>
      </c>
    </row>
    <row r="34" spans="1:15">
      <c r="A34" s="2214"/>
      <c r="B34" s="2212"/>
      <c r="C34" s="2346"/>
      <c r="D34" s="2255"/>
      <c r="E34" s="2266"/>
      <c r="F34" s="2345"/>
      <c r="G34" s="2345"/>
      <c r="H34" s="2345"/>
      <c r="I34" s="2343"/>
      <c r="J34" s="2343"/>
      <c r="K34" s="2343"/>
      <c r="L34" s="2342"/>
      <c r="M34" s="2194"/>
      <c r="N34" s="2285"/>
      <c r="O34" s="2341"/>
    </row>
    <row r="35" spans="1:15">
      <c r="A35" s="2214"/>
      <c r="B35" s="2265" t="s">
        <v>1415</v>
      </c>
      <c r="C35" s="2346"/>
      <c r="D35" s="2255"/>
      <c r="E35" s="2266"/>
      <c r="F35" s="2212"/>
      <c r="G35" s="2212"/>
      <c r="H35" s="2345"/>
      <c r="I35" s="2343"/>
      <c r="J35" s="2343"/>
      <c r="K35" s="2343"/>
      <c r="L35" s="2342"/>
      <c r="M35" s="2194"/>
      <c r="N35" s="2285"/>
      <c r="O35" s="2341"/>
    </row>
    <row r="36" spans="1:15" ht="14.25">
      <c r="A36" s="2214"/>
      <c r="B36" s="2278" t="s">
        <v>1468</v>
      </c>
      <c r="C36" s="2475"/>
      <c r="D36" s="2255" t="s">
        <v>1430</v>
      </c>
      <c r="E36" s="2266"/>
      <c r="F36" s="2212"/>
      <c r="G36" s="2212"/>
      <c r="H36" s="2212"/>
      <c r="I36" s="2343">
        <f>$C36*VLOOKUP($B36,'[3]Standard values'!$C$9:$S$159,3, FALSE)/$E$148</f>
        <v>0</v>
      </c>
      <c r="J36" s="2343">
        <f>$C36*VLOOKUP($B36,'[3]Standard values'!$C$9:$S$159,4, FALSE)/$E$148</f>
        <v>0</v>
      </c>
      <c r="K36" s="2343">
        <f>$C36*VLOOKUP($B36,'[3]Standard values'!$C$9:$S$159,5, FALSE)/$E$148</f>
        <v>0</v>
      </c>
      <c r="L36" s="2342">
        <f>I36*'[3]Standard values'!$D$10+J36*'[3]Standard values'!$D$11+K36*'[3]Standard values'!$D$12</f>
        <v>0</v>
      </c>
      <c r="M36" s="2194"/>
      <c r="N36" s="2285">
        <f>+L36/E$23</f>
        <v>0</v>
      </c>
      <c r="O36" s="2341">
        <f>L36*$E$148/1000</f>
        <v>0</v>
      </c>
    </row>
    <row r="37" spans="1:15">
      <c r="A37" s="2214"/>
      <c r="B37" s="2265"/>
      <c r="C37" s="2346"/>
      <c r="D37" s="2255"/>
      <c r="E37" s="2266"/>
      <c r="F37" s="2212"/>
      <c r="G37" s="2212"/>
      <c r="H37" s="2212"/>
      <c r="I37" s="2343"/>
      <c r="J37" s="2343"/>
      <c r="K37" s="2343"/>
      <c r="L37" s="2342"/>
      <c r="M37" s="2194"/>
      <c r="N37" s="2285"/>
      <c r="O37" s="2341"/>
    </row>
    <row r="38" spans="1:15" ht="15">
      <c r="A38" s="2214"/>
      <c r="B38" s="2265" t="s">
        <v>1450</v>
      </c>
      <c r="C38" s="2344">
        <v>0.82437749999999999</v>
      </c>
      <c r="D38" s="2255" t="s">
        <v>1430</v>
      </c>
      <c r="E38" s="2266"/>
      <c r="F38" s="2212"/>
      <c r="G38" s="2212"/>
      <c r="H38" s="2212"/>
      <c r="I38" s="2343">
        <v>0</v>
      </c>
      <c r="J38" s="2343">
        <v>0</v>
      </c>
      <c r="K38" s="2343">
        <f>1000*$C38/$E$148</f>
        <v>2.6438542803369318E-2</v>
      </c>
      <c r="L38" s="2342">
        <f>I38*'[3]Standard values'!$D$10+J38*'[3]Standard values'!$D$11+K38*'[3]Standard values'!$D$12</f>
        <v>7.8786857554040566</v>
      </c>
      <c r="M38" s="2194"/>
      <c r="N38" s="2285">
        <f>+L38/E$23</f>
        <v>63.261674999999997</v>
      </c>
      <c r="O38" s="2341">
        <f>L38*$E$148/1000</f>
        <v>245.66449499999999</v>
      </c>
    </row>
    <row r="39" spans="1:15">
      <c r="A39" s="2214"/>
      <c r="B39" s="2265"/>
      <c r="C39" s="2338"/>
      <c r="D39" s="2212"/>
      <c r="E39" s="2266"/>
      <c r="F39" s="2245"/>
      <c r="G39" s="2245"/>
      <c r="H39" s="2245" t="s">
        <v>151</v>
      </c>
      <c r="I39" s="2340">
        <f>SUM(I22:I38)</f>
        <v>23.190312518634752</v>
      </c>
      <c r="J39" s="2340">
        <f>SUM(J22:J38)</f>
        <v>3.0205920539407981E-2</v>
      </c>
      <c r="K39" s="2340">
        <f>SUM(K22:K38)</f>
        <v>4.3560901311392251E-2</v>
      </c>
      <c r="L39" s="2240">
        <f>I39*'[3]Standard values'!$D$10+J39*'[3]Standard values'!$D$11+K39*'[3]Standard values'!$D$12</f>
        <v>36.92660912291484</v>
      </c>
      <c r="M39" s="2194"/>
      <c r="N39" s="2274">
        <f>+L39/E$23</f>
        <v>296.50111931213462</v>
      </c>
      <c r="O39" s="2339">
        <f>L39*$E$148/1000</f>
        <v>1151.4048235800001</v>
      </c>
    </row>
    <row r="40" spans="1:15">
      <c r="A40" s="2214"/>
      <c r="B40" s="2265"/>
      <c r="C40" s="2338"/>
      <c r="D40" s="2212"/>
      <c r="E40" s="2266"/>
      <c r="F40" s="2245"/>
      <c r="G40" s="2245"/>
      <c r="H40" s="2245"/>
      <c r="I40" s="2247"/>
      <c r="J40" s="2247"/>
      <c r="K40" s="2247"/>
      <c r="L40" s="2337"/>
      <c r="M40" s="2194"/>
      <c r="N40" s="2336"/>
      <c r="O40" s="2336"/>
    </row>
    <row r="41" spans="1:15" ht="14.25">
      <c r="A41" s="2239"/>
      <c r="B41" s="2237"/>
      <c r="C41" s="2237"/>
      <c r="D41" s="2237"/>
      <c r="E41" s="2239"/>
      <c r="F41" s="2238"/>
      <c r="G41" s="2238"/>
      <c r="H41" s="2238" t="s">
        <v>241</v>
      </c>
      <c r="I41" s="2335"/>
      <c r="J41" s="2236" t="s">
        <v>1451</v>
      </c>
      <c r="K41" s="2334"/>
      <c r="L41" s="2234">
        <f>L39</f>
        <v>36.92660912291484</v>
      </c>
      <c r="M41" s="2194"/>
      <c r="N41" s="2194"/>
      <c r="O41" s="2194"/>
    </row>
    <row r="42" spans="1:15">
      <c r="A42" s="2194"/>
      <c r="B42" s="2194"/>
      <c r="C42" s="2194"/>
      <c r="D42" s="2194"/>
      <c r="E42" s="2194"/>
      <c r="F42" s="2333"/>
      <c r="G42" s="2333"/>
      <c r="H42" s="2333"/>
      <c r="I42" s="2332"/>
      <c r="J42" s="2331"/>
      <c r="K42" s="2330"/>
      <c r="L42" s="2329"/>
      <c r="M42" s="2194"/>
      <c r="N42" s="2193"/>
      <c r="O42" s="2193"/>
    </row>
    <row r="43" spans="1:15">
      <c r="A43" s="2193"/>
      <c r="B43" s="2193"/>
      <c r="C43" s="2193"/>
      <c r="D43" s="2193"/>
      <c r="E43" s="2193"/>
      <c r="F43" s="2193"/>
      <c r="G43" s="2193"/>
      <c r="H43" s="2193"/>
      <c r="I43" s="2328"/>
      <c r="J43" s="2328"/>
      <c r="K43" s="2328"/>
      <c r="L43" s="2328"/>
      <c r="M43" s="2194"/>
      <c r="N43" s="2193"/>
      <c r="O43" s="2193"/>
    </row>
    <row r="44" spans="1:15" ht="15.75">
      <c r="A44" s="2229" t="s">
        <v>92</v>
      </c>
      <c r="B44" s="2228"/>
      <c r="C44" s="2228"/>
      <c r="D44" s="2228"/>
      <c r="E44" s="2229" t="s">
        <v>239</v>
      </c>
      <c r="F44" s="2227"/>
      <c r="G44" s="2227"/>
      <c r="H44" s="2228"/>
      <c r="I44" s="2227" t="s">
        <v>261</v>
      </c>
      <c r="J44" s="2291"/>
      <c r="K44" s="2291"/>
      <c r="L44" s="2290"/>
      <c r="M44" s="2194"/>
      <c r="N44" s="2282" t="s">
        <v>258</v>
      </c>
      <c r="O44" s="2193"/>
    </row>
    <row r="45" spans="1:15" ht="15.75">
      <c r="A45" s="2214"/>
      <c r="B45" s="2265" t="s">
        <v>1435</v>
      </c>
      <c r="C45" s="2490">
        <v>0.99009900990099009</v>
      </c>
      <c r="D45" s="2212" t="s">
        <v>91</v>
      </c>
      <c r="E45" s="2326">
        <f>E21*C45</f>
        <v>60460.396039603962</v>
      </c>
      <c r="F45" s="2325" t="s">
        <v>90</v>
      </c>
      <c r="G45" s="2325"/>
      <c r="H45" s="2212"/>
      <c r="I45" s="2246" t="s">
        <v>243</v>
      </c>
      <c r="J45" s="2245"/>
      <c r="K45" s="2245"/>
      <c r="L45" s="2244"/>
      <c r="M45" s="2194"/>
      <c r="N45" s="2280" t="s">
        <v>89</v>
      </c>
      <c r="O45" s="2193"/>
    </row>
    <row r="46" spans="1:15" ht="15.75">
      <c r="A46" s="2214"/>
      <c r="B46" s="2212"/>
      <c r="C46" s="2212"/>
      <c r="D46" s="2212"/>
      <c r="E46" s="2279">
        <f>E22*C45</f>
        <v>0.99009900990099009</v>
      </c>
      <c r="F46" s="2278" t="s">
        <v>83</v>
      </c>
      <c r="G46" s="2278"/>
      <c r="H46" s="2212"/>
      <c r="I46" s="2243" t="s">
        <v>1453</v>
      </c>
      <c r="J46" s="2243" t="s">
        <v>1454</v>
      </c>
      <c r="K46" s="2243" t="s">
        <v>245</v>
      </c>
      <c r="L46" s="2258" t="s">
        <v>1456</v>
      </c>
      <c r="M46" s="2194"/>
      <c r="N46" s="2258" t="s">
        <v>1456</v>
      </c>
      <c r="O46" s="2193"/>
    </row>
    <row r="47" spans="1:15">
      <c r="A47" s="2214"/>
      <c r="B47" s="2265" t="s">
        <v>1407</v>
      </c>
      <c r="C47" s="2212"/>
      <c r="D47" s="2212"/>
      <c r="E47" s="2279"/>
      <c r="F47" s="2278"/>
      <c r="G47" s="2278"/>
      <c r="H47" s="2212"/>
      <c r="I47" s="2243"/>
      <c r="J47" s="2243"/>
      <c r="K47" s="2243"/>
      <c r="L47" s="2258"/>
      <c r="M47" s="2194"/>
      <c r="N47" s="2275"/>
      <c r="O47" s="2193"/>
    </row>
    <row r="48" spans="1:15" ht="15.75">
      <c r="A48" s="2214"/>
      <c r="B48" s="2212" t="s">
        <v>1360</v>
      </c>
      <c r="C48" s="2242">
        <v>50</v>
      </c>
      <c r="D48" s="2212" t="s">
        <v>1414</v>
      </c>
      <c r="E48" s="2287">
        <f>(C48*E46)/(VLOOKUP($B45,'[3]Standard values'!$C$9:$S$159,14, FALSE))/(1-$C$22)/1000</f>
        <v>3.1481685529443247E-3</v>
      </c>
      <c r="F48" s="2212" t="s">
        <v>84</v>
      </c>
      <c r="G48" s="2212"/>
      <c r="H48" s="2212"/>
      <c r="I48" s="2215">
        <f>$E48*VLOOKUP($B48,'[3]Standard values'!$C$9:$S$159,15, FALSE)*VLOOKUP(C49,'[3]Standard values'!$C$9:$S$159,7, FALSE)/$E$149</f>
        <v>0.50574830302880291</v>
      </c>
      <c r="J48" s="2215">
        <f>$E48*((VLOOKUP($B48,'[3]Standard values'!$C$9:$S$159,15, FALSE)*VLOOKUP(C49,'[3]Standard values'!$C$9:$S$159,8, FALSE))+VLOOKUP($B48,'[3]Standard values'!$C$9:$S$159,16, FALSE))/$E$149</f>
        <v>3.0827032977496217E-5</v>
      </c>
      <c r="K48" s="2215">
        <f>$E48*((VLOOKUP($B48,'[3]Standard values'!$C$9:$S$159,15, FALSE)*VLOOKUP(C49,'[3]Standard values'!$C$9:$S$159,9, FALSE))+VLOOKUP($B48,'[3]Standard values'!$C$9:$S$159,17, FALSE))/$E$149</f>
        <v>0</v>
      </c>
      <c r="L48" s="2240">
        <f>I48*'[3]Standard values'!$D$10+J48*'[3]Standard values'!$D$11+K48*'[3]Standard values'!$D$12</f>
        <v>0.50651897885324026</v>
      </c>
      <c r="M48" s="2194"/>
      <c r="N48" s="2274">
        <f>+L48/E23</f>
        <v>4.0670792079207914</v>
      </c>
      <c r="O48" s="2193"/>
    </row>
    <row r="49" spans="1:15">
      <c r="A49" s="2214"/>
      <c r="B49" s="2217" t="s">
        <v>1374</v>
      </c>
      <c r="C49" s="2288" t="s">
        <v>1413</v>
      </c>
      <c r="D49" s="2212"/>
      <c r="E49" s="2287"/>
      <c r="F49" s="2212"/>
      <c r="G49" s="2212"/>
      <c r="H49" s="2212"/>
      <c r="I49" s="2215"/>
      <c r="J49" s="2215"/>
      <c r="K49" s="2215"/>
      <c r="L49" s="2240"/>
      <c r="M49" s="2194"/>
      <c r="N49" s="2193"/>
      <c r="O49" s="2193"/>
    </row>
    <row r="50" spans="1:15">
      <c r="A50" s="2214"/>
      <c r="B50" s="2212"/>
      <c r="C50" s="2212"/>
      <c r="D50" s="2212"/>
      <c r="E50" s="2214"/>
      <c r="F50" s="2212"/>
      <c r="G50" s="2212"/>
      <c r="H50" s="2327"/>
      <c r="I50" s="2215"/>
      <c r="J50" s="2215"/>
      <c r="K50" s="2215"/>
      <c r="L50" s="2240"/>
      <c r="M50" s="2194"/>
      <c r="N50" s="2193"/>
      <c r="O50" s="2193"/>
    </row>
    <row r="51" spans="1:15" ht="14.25">
      <c r="A51" s="2239"/>
      <c r="B51" s="2237"/>
      <c r="C51" s="2237"/>
      <c r="D51" s="2237"/>
      <c r="E51" s="2239"/>
      <c r="F51" s="2238"/>
      <c r="G51" s="2238"/>
      <c r="H51" s="2238" t="s">
        <v>241</v>
      </c>
      <c r="I51" s="2237"/>
      <c r="J51" s="2236" t="s">
        <v>1451</v>
      </c>
      <c r="K51" s="2235"/>
      <c r="L51" s="2234">
        <f>L48</f>
        <v>0.50651897885324026</v>
      </c>
      <c r="M51" s="2194"/>
      <c r="N51" s="2193"/>
      <c r="O51" s="2193"/>
    </row>
    <row r="52" spans="1:15">
      <c r="A52" s="2193"/>
      <c r="B52" s="2193"/>
      <c r="C52" s="2193"/>
      <c r="D52" s="2193"/>
      <c r="E52" s="2193"/>
      <c r="F52" s="2233"/>
      <c r="G52" s="2233"/>
      <c r="H52" s="2233"/>
      <c r="I52" s="2193"/>
      <c r="J52" s="2232"/>
      <c r="K52" s="2231"/>
      <c r="L52" s="2284"/>
      <c r="M52" s="2194"/>
      <c r="N52" s="2194"/>
      <c r="O52" s="2194"/>
    </row>
    <row r="53" spans="1:15">
      <c r="A53" s="2193"/>
      <c r="B53" s="2193"/>
      <c r="C53" s="2193"/>
      <c r="D53" s="2193"/>
      <c r="E53" s="2193"/>
      <c r="F53" s="2193"/>
      <c r="G53" s="2193"/>
      <c r="H53" s="2193"/>
      <c r="I53" s="2193"/>
      <c r="J53" s="2193"/>
      <c r="K53" s="2193"/>
      <c r="L53" s="2295"/>
      <c r="M53" s="2194"/>
      <c r="N53" s="2194"/>
      <c r="O53" s="2194"/>
    </row>
    <row r="54" spans="1:15" ht="15.75">
      <c r="A54" s="2229" t="s">
        <v>1436</v>
      </c>
      <c r="B54" s="2228"/>
      <c r="C54" s="2228"/>
      <c r="D54" s="2228"/>
      <c r="E54" s="2229" t="s">
        <v>239</v>
      </c>
      <c r="F54" s="2227"/>
      <c r="G54" s="2227"/>
      <c r="H54" s="2228"/>
      <c r="I54" s="2227" t="s">
        <v>261</v>
      </c>
      <c r="J54" s="2291"/>
      <c r="K54" s="2291"/>
      <c r="L54" s="2290"/>
      <c r="M54" s="2194"/>
      <c r="N54" s="2282" t="s">
        <v>258</v>
      </c>
      <c r="O54" s="2194"/>
    </row>
    <row r="55" spans="1:15">
      <c r="A55" s="2214"/>
      <c r="B55" s="2265" t="s">
        <v>1428</v>
      </c>
      <c r="C55" s="2212"/>
      <c r="D55" s="2212"/>
      <c r="E55" s="2326"/>
      <c r="F55" s="2212"/>
      <c r="G55" s="2212"/>
      <c r="H55" s="2212"/>
      <c r="I55" s="2246" t="s">
        <v>243</v>
      </c>
      <c r="J55" s="2245"/>
      <c r="K55" s="2245"/>
      <c r="L55" s="2244"/>
      <c r="M55" s="2194"/>
      <c r="N55" s="2280" t="s">
        <v>256</v>
      </c>
      <c r="O55" s="2194"/>
    </row>
    <row r="56" spans="1:15" ht="15.75">
      <c r="A56" s="2214"/>
      <c r="B56" s="2212" t="s">
        <v>1408</v>
      </c>
      <c r="C56" s="2281">
        <v>0.51572433856915745</v>
      </c>
      <c r="D56" s="2212" t="s">
        <v>88</v>
      </c>
      <c r="E56" s="2326">
        <f>E45*C56</f>
        <v>31180.89775715406</v>
      </c>
      <c r="F56" s="2212" t="s">
        <v>1437</v>
      </c>
      <c r="G56" s="2212"/>
      <c r="H56" s="2212"/>
      <c r="I56" s="2243" t="s">
        <v>1453</v>
      </c>
      <c r="J56" s="2243" t="s">
        <v>1454</v>
      </c>
      <c r="K56" s="2243" t="s">
        <v>245</v>
      </c>
      <c r="L56" s="2258" t="s">
        <v>1456</v>
      </c>
      <c r="M56" s="2194"/>
      <c r="N56" s="2258" t="s">
        <v>1456</v>
      </c>
      <c r="O56" s="2194"/>
    </row>
    <row r="57" spans="1:15" ht="15.75">
      <c r="A57" s="2324"/>
      <c r="B57" s="2278" t="s">
        <v>1198</v>
      </c>
      <c r="C57" s="2281">
        <v>1.3924050632911393</v>
      </c>
      <c r="D57" s="2278" t="s">
        <v>212</v>
      </c>
      <c r="E57" s="2279">
        <f>E46*C56</f>
        <v>0.5106181569991658</v>
      </c>
      <c r="F57" s="2278" t="s">
        <v>83</v>
      </c>
      <c r="G57" s="2278"/>
      <c r="H57" s="2212"/>
      <c r="I57" s="2212"/>
      <c r="J57" s="2212"/>
      <c r="K57" s="2212"/>
      <c r="L57" s="2275"/>
      <c r="M57" s="2194"/>
      <c r="N57" s="2275"/>
      <c r="O57" s="2194"/>
    </row>
    <row r="58" spans="1:15" ht="15.75">
      <c r="A58" s="2324"/>
      <c r="B58" s="2278"/>
      <c r="C58" s="2323"/>
      <c r="D58" s="2278"/>
      <c r="E58" s="2322">
        <f>E56/$E$148/VLOOKUP($B56,'[3]Standard values'!$C$9:$S$159,14, FALSE)</f>
        <v>3.7299515106303617E-2</v>
      </c>
      <c r="F58" s="2212" t="s">
        <v>153</v>
      </c>
      <c r="G58" s="2212"/>
      <c r="H58" s="2212"/>
      <c r="I58" s="2212"/>
      <c r="J58" s="2212"/>
      <c r="K58" s="2212"/>
      <c r="L58" s="2275"/>
      <c r="M58" s="2194"/>
      <c r="N58" s="2285"/>
      <c r="O58" s="2194"/>
    </row>
    <row r="59" spans="1:15">
      <c r="A59" s="2214"/>
      <c r="B59" s="2265" t="s">
        <v>1429</v>
      </c>
      <c r="C59" s="2212"/>
      <c r="D59" s="2212"/>
      <c r="E59" s="2266"/>
      <c r="F59" s="2212"/>
      <c r="G59" s="2212"/>
      <c r="H59" s="2212"/>
      <c r="I59" s="2212"/>
      <c r="J59" s="2212"/>
      <c r="K59" s="2212"/>
      <c r="L59" s="2275"/>
      <c r="M59" s="2194"/>
      <c r="N59" s="2285"/>
      <c r="O59" s="2194"/>
    </row>
    <row r="60" spans="1:15" ht="15.75">
      <c r="A60" s="2214"/>
      <c r="B60" s="2212" t="s">
        <v>988</v>
      </c>
      <c r="C60" s="2281">
        <f>1.4*0.0539083423409348</f>
        <v>7.5471679277308718E-2</v>
      </c>
      <c r="D60" s="2212" t="s">
        <v>254</v>
      </c>
      <c r="E60" s="2214" t="s">
        <v>201</v>
      </c>
      <c r="F60" s="2212"/>
      <c r="G60" s="2212"/>
      <c r="H60" s="2212"/>
      <c r="I60" s="2215"/>
      <c r="J60" s="2215"/>
      <c r="K60" s="2215"/>
      <c r="L60" s="2254"/>
      <c r="M60" s="2194"/>
      <c r="N60" s="2285"/>
      <c r="O60" s="2194"/>
    </row>
    <row r="61" spans="1:15" ht="15.75">
      <c r="A61" s="2214"/>
      <c r="B61" s="2212" t="s">
        <v>954</v>
      </c>
      <c r="C61" s="2281">
        <f>1.4*0.487016949431729</f>
        <v>0.68182372920442058</v>
      </c>
      <c r="D61" s="2212" t="s">
        <v>254</v>
      </c>
      <c r="E61" s="2214"/>
      <c r="F61" s="2212"/>
      <c r="G61" s="2212"/>
      <c r="H61" s="2212"/>
      <c r="I61" s="2215"/>
      <c r="J61" s="2215"/>
      <c r="K61" s="2215"/>
      <c r="L61" s="2254"/>
      <c r="M61" s="2194"/>
      <c r="N61" s="2285"/>
      <c r="O61" s="2194"/>
    </row>
    <row r="62" spans="1:15">
      <c r="A62" s="2214"/>
      <c r="B62" s="2319" t="s">
        <v>938</v>
      </c>
      <c r="C62" s="2315"/>
      <c r="D62" s="2315"/>
      <c r="E62" s="2302"/>
      <c r="F62" s="2300"/>
      <c r="G62" s="2300"/>
      <c r="H62" s="2300"/>
      <c r="I62" s="2318" t="s">
        <v>87</v>
      </c>
      <c r="J62" s="2300"/>
      <c r="K62" s="2300"/>
      <c r="L62" s="2317"/>
      <c r="M62" s="2194"/>
      <c r="N62" s="2285"/>
      <c r="O62" s="2194"/>
    </row>
    <row r="63" spans="1:15" ht="15.75">
      <c r="A63" s="2214"/>
      <c r="B63" s="2316" t="s">
        <v>86</v>
      </c>
      <c r="C63" s="2312"/>
      <c r="D63" s="2315"/>
      <c r="E63" s="2302"/>
      <c r="F63" s="2300"/>
      <c r="G63" s="2300"/>
      <c r="H63" s="2300"/>
      <c r="I63" s="2303">
        <f>$C61*$E$57*VLOOKUP($B63,'[3]Standard values'!$C$9:$S$156,7, FALSE)/$E$149</f>
        <v>0</v>
      </c>
      <c r="J63" s="2303">
        <f>$C61*$E$57*VLOOKUP($B63,'[3]Standard values'!$C$9:$S$156,8, FALSE)/$E$149</f>
        <v>0</v>
      </c>
      <c r="K63" s="2303">
        <f>$C61*$E$57*VLOOKUP($B63,'[3]Standard values'!$C$9:$S$156,9, FALSE)/$E$149</f>
        <v>0</v>
      </c>
      <c r="L63" s="2311">
        <f>I63*'[3]Standard values'!$D$10+J63*'[3]Standard values'!$D$11+K63*'[3]Standard values'!$D$12</f>
        <v>0</v>
      </c>
      <c r="M63" s="2194"/>
      <c r="N63" s="2285">
        <f>+L63/$E$58</f>
        <v>0</v>
      </c>
      <c r="O63" s="2194"/>
    </row>
    <row r="64" spans="1:15" ht="14.25">
      <c r="A64" s="2214"/>
      <c r="B64" s="2313" t="s">
        <v>940</v>
      </c>
      <c r="C64" s="2281">
        <v>1.8664000000000001</v>
      </c>
      <c r="D64" s="2300" t="s">
        <v>885</v>
      </c>
      <c r="E64" s="2302"/>
      <c r="F64" s="2300"/>
      <c r="G64" s="2300"/>
      <c r="H64" s="2300"/>
      <c r="I64" s="2303"/>
      <c r="J64" s="2314"/>
      <c r="K64" s="2314"/>
      <c r="L64" s="2311"/>
      <c r="M64" s="2194"/>
      <c r="N64" s="2285"/>
      <c r="O64" s="2194"/>
    </row>
    <row r="65" spans="1:15" ht="15.75">
      <c r="A65" s="2214"/>
      <c r="B65" s="2313" t="s">
        <v>1183</v>
      </c>
      <c r="C65" s="2312">
        <f>C64*C61</f>
        <v>1.2725558081871307</v>
      </c>
      <c r="D65" s="2300" t="s">
        <v>254</v>
      </c>
      <c r="E65" s="2302"/>
      <c r="F65" s="2300"/>
      <c r="G65" s="2300"/>
      <c r="H65" s="2300"/>
      <c r="I65" s="2303">
        <f>$C65*$E$57*VLOOKUP($B65,'[3]Standard values'!$C$9:$S$159,7, FALSE)/$E$149</f>
        <v>80.125203906694495</v>
      </c>
      <c r="J65" s="2303">
        <f>$C65*$E$57*VLOOKUP($B65,'[3]Standard values'!$C$9:$S$159,8, FALSE)/$E$149</f>
        <v>0.25214279388330013</v>
      </c>
      <c r="K65" s="2303">
        <f>$C65*$E$57*VLOOKUP($B65,'[3]Standard values'!$C$9:$S$159,9, FALSE)/$E$149</f>
        <v>2.8279017959714016E-4</v>
      </c>
      <c r="L65" s="2311">
        <f>I65*'[3]Standard values'!$D$10+J65*'[3]Standard values'!$D$11+K65*'[3]Standard values'!$D$12</f>
        <v>86.513045227296942</v>
      </c>
      <c r="M65" s="2194"/>
      <c r="N65" s="2285">
        <f>+L65/$E$58</f>
        <v>2319.4147425438309</v>
      </c>
      <c r="O65" s="2194"/>
    </row>
    <row r="66" spans="1:15" ht="14.25">
      <c r="A66" s="2214"/>
      <c r="B66" s="2313" t="s">
        <v>812</v>
      </c>
      <c r="C66" s="2281">
        <v>-0.66149999999999998</v>
      </c>
      <c r="D66" s="2300" t="s">
        <v>885</v>
      </c>
      <c r="E66" s="2302"/>
      <c r="F66" s="2300"/>
      <c r="G66" s="2300"/>
      <c r="H66" s="2300"/>
      <c r="I66" s="2303"/>
      <c r="J66" s="2314"/>
      <c r="K66" s="2314"/>
      <c r="L66" s="2311"/>
      <c r="M66" s="2194"/>
      <c r="N66" s="2285"/>
      <c r="O66" s="2194"/>
    </row>
    <row r="67" spans="1:15" ht="15.75">
      <c r="A67" s="2214"/>
      <c r="B67" s="2313" t="s">
        <v>813</v>
      </c>
      <c r="C67" s="2312">
        <f>C66*C61</f>
        <v>-0.4510263968687242</v>
      </c>
      <c r="D67" s="2300" t="s">
        <v>254</v>
      </c>
      <c r="E67" s="2302" t="s">
        <v>198</v>
      </c>
      <c r="F67" s="2300"/>
      <c r="G67" s="2300"/>
      <c r="H67" s="2300"/>
      <c r="I67" s="2303"/>
      <c r="J67" s="2314"/>
      <c r="K67" s="2314"/>
      <c r="L67" s="2311"/>
      <c r="M67" s="2194"/>
      <c r="N67" s="2285"/>
      <c r="O67" s="2194"/>
    </row>
    <row r="68" spans="1:15" ht="15.75">
      <c r="A68" s="2214"/>
      <c r="B68" s="2313" t="str">
        <f>IF(C68&gt;0, "Electricity EU mix MV", "Electricity (NG CCGT)")</f>
        <v>Electricity (NG CCGT)</v>
      </c>
      <c r="C68" s="2312">
        <f>C67+C60</f>
        <v>-0.37555471759141545</v>
      </c>
      <c r="D68" s="2300" t="s">
        <v>254</v>
      </c>
      <c r="E68" s="2302" t="str">
        <f>IF(C68&gt;0, "Electricity use in ethanol plant larger than generation", "Surplus electricity. Credit is calculated following")</f>
        <v>Surplus electricity. Credit is calculated following</v>
      </c>
      <c r="F68" s="2300"/>
      <c r="G68" s="2300"/>
      <c r="H68" s="2300"/>
      <c r="I68" s="2303">
        <f>$C68*$E$57*VLOOKUP($B68,'[3]Standard values'!$C$9:$S$159,7, FALSE)/$E$149</f>
        <v>-42.993504069865246</v>
      </c>
      <c r="J68" s="2303">
        <f>$C68*$E$57*VLOOKUP($B68,'[3]Standard values'!$C$9:$S$159,8, FALSE)/$E$149</f>
        <v>-0.13816126972708753</v>
      </c>
      <c r="K68" s="2303">
        <f>$C68*$E$57*VLOOKUP($B68,'[3]Standard values'!$C$9:$S$159,9, FALSE)/$E$149</f>
        <v>-1.8719885279133712E-3</v>
      </c>
      <c r="L68" s="2311">
        <f>I68*'[3]Standard values'!$D$10+J68*'[3]Standard values'!$D$11+K68*'[3]Standard values'!$D$12</f>
        <v>-47.005388394360622</v>
      </c>
      <c r="M68" s="2194"/>
      <c r="N68" s="2285">
        <f>+L68/$E$58</f>
        <v>-1260.2144628528083</v>
      </c>
      <c r="O68" s="2194"/>
    </row>
    <row r="69" spans="1:15">
      <c r="A69" s="2214"/>
      <c r="B69" s="2313"/>
      <c r="C69" s="2312"/>
      <c r="D69" s="2300"/>
      <c r="E69" s="2302" t="str">
        <f>IF(C68&gt;0, "   in Lignite CHP. Therefore calculated as EU Mix MV", "   RED Annex V.C.16")</f>
        <v xml:space="preserve">   RED Annex V.C.16</v>
      </c>
      <c r="F69" s="2300"/>
      <c r="G69" s="2300"/>
      <c r="H69" s="2300"/>
      <c r="I69" s="2303"/>
      <c r="J69" s="2303"/>
      <c r="K69" s="2303"/>
      <c r="L69" s="2311"/>
      <c r="M69" s="2194"/>
      <c r="N69" s="2285"/>
      <c r="O69" s="2194"/>
    </row>
    <row r="70" spans="1:15">
      <c r="A70" s="2214"/>
      <c r="B70" s="2265"/>
      <c r="C70" s="2212"/>
      <c r="D70" s="2212"/>
      <c r="E70" s="2214"/>
      <c r="F70" s="2212"/>
      <c r="G70" s="2212"/>
      <c r="H70" s="2245" t="s">
        <v>151</v>
      </c>
      <c r="I70" s="2308">
        <f>SUM(I60:I68)</f>
        <v>37.131699836829249</v>
      </c>
      <c r="J70" s="2308">
        <f>SUM(J60:J68)</f>
        <v>0.1139815241562126</v>
      </c>
      <c r="K70" s="2308">
        <f>SUM(K60:K68)</f>
        <v>-1.5891983483162311E-3</v>
      </c>
      <c r="L70" s="2240">
        <f>I70*'[3]Standard values'!$D$10+J70*'[3]Standard values'!$D$11+K70*'[3]Standard values'!$D$12</f>
        <v>39.507656832936327</v>
      </c>
      <c r="M70" s="2194"/>
      <c r="N70" s="2274">
        <f>+L70/$E$58</f>
        <v>1059.2002796910228</v>
      </c>
      <c r="O70" s="2194"/>
    </row>
    <row r="71" spans="1:15">
      <c r="A71" s="2214"/>
      <c r="B71" s="2212"/>
      <c r="C71" s="2278"/>
      <c r="D71" s="2278"/>
      <c r="E71" s="2214"/>
      <c r="F71" s="2212"/>
      <c r="G71" s="2212"/>
      <c r="H71" s="2212"/>
      <c r="I71" s="2212"/>
      <c r="J71" s="2212"/>
      <c r="K71" s="2212"/>
      <c r="L71" s="2275"/>
      <c r="M71" s="2194"/>
      <c r="N71" s="2193"/>
      <c r="O71" s="2194"/>
    </row>
    <row r="72" spans="1:15" ht="14.25">
      <c r="A72" s="2239"/>
      <c r="B72" s="2237"/>
      <c r="C72" s="2237"/>
      <c r="D72" s="2237"/>
      <c r="E72" s="2239"/>
      <c r="F72" s="2238"/>
      <c r="G72" s="2238"/>
      <c r="H72" s="2238" t="s">
        <v>241</v>
      </c>
      <c r="I72" s="2237"/>
      <c r="J72" s="2236" t="s">
        <v>1451</v>
      </c>
      <c r="K72" s="2235"/>
      <c r="L72" s="2234">
        <f>L70</f>
        <v>39.507656832936327</v>
      </c>
      <c r="M72" s="2194"/>
      <c r="N72" s="2193"/>
      <c r="O72" s="2194"/>
    </row>
    <row r="73" spans="1:15">
      <c r="A73" s="2193"/>
      <c r="B73" s="2193"/>
      <c r="C73" s="2193"/>
      <c r="D73" s="2193"/>
      <c r="E73" s="2193"/>
      <c r="F73" s="2233"/>
      <c r="G73" s="2233"/>
      <c r="H73" s="2233"/>
      <c r="I73" s="2193"/>
      <c r="J73" s="2232"/>
      <c r="K73" s="2231"/>
      <c r="L73" s="2294"/>
      <c r="M73" s="2194"/>
      <c r="N73" s="2193"/>
      <c r="O73" s="2193"/>
    </row>
    <row r="74" spans="1:15">
      <c r="A74" s="2193"/>
      <c r="B74" s="2193"/>
      <c r="C74" s="2193"/>
      <c r="D74" s="2193"/>
      <c r="E74" s="2193"/>
      <c r="F74" s="2233"/>
      <c r="G74" s="2233"/>
      <c r="H74" s="2233"/>
      <c r="I74" s="2193"/>
      <c r="J74" s="2232"/>
      <c r="K74" s="2231"/>
      <c r="L74" s="2294"/>
      <c r="M74" s="2194"/>
      <c r="N74" s="2193"/>
      <c r="O74" s="2193"/>
    </row>
    <row r="75" spans="1:15" ht="15.75">
      <c r="A75" s="2229" t="s">
        <v>150</v>
      </c>
      <c r="B75" s="2228"/>
      <c r="C75" s="2228"/>
      <c r="D75" s="2228"/>
      <c r="E75" s="2225" t="s">
        <v>149</v>
      </c>
      <c r="F75" s="2226"/>
      <c r="G75" s="2226"/>
      <c r="H75" s="2226"/>
      <c r="I75" s="2224"/>
      <c r="J75" s="2225" t="s">
        <v>1451</v>
      </c>
      <c r="K75" s="2224"/>
      <c r="L75" s="2223">
        <f>L41+L51+L72</f>
        <v>76.940784934704411</v>
      </c>
      <c r="M75" s="2194"/>
      <c r="N75" s="2282" t="s">
        <v>258</v>
      </c>
      <c r="O75" s="2193"/>
    </row>
    <row r="76" spans="1:15" ht="15.75">
      <c r="A76" s="2222" t="s">
        <v>148</v>
      </c>
      <c r="B76" s="2221"/>
      <c r="C76" s="2221"/>
      <c r="D76" s="2221"/>
      <c r="E76" s="2220"/>
      <c r="F76" s="2220"/>
      <c r="G76" s="2220"/>
      <c r="H76" s="2220"/>
      <c r="I76" s="2220"/>
      <c r="J76" s="2220"/>
      <c r="K76" s="2220"/>
      <c r="L76" s="2219"/>
      <c r="M76" s="2194"/>
      <c r="N76" s="2280" t="s">
        <v>256</v>
      </c>
      <c r="O76" s="2193"/>
    </row>
    <row r="77" spans="1:15" ht="15.75">
      <c r="A77" s="2302"/>
      <c r="B77" s="2300"/>
      <c r="C77" s="2300"/>
      <c r="D77" s="2304"/>
      <c r="E77" s="2304"/>
      <c r="F77" s="2304"/>
      <c r="G77" s="2304"/>
      <c r="H77" s="2304" t="s">
        <v>147</v>
      </c>
      <c r="I77" s="2305">
        <f>L75</f>
        <v>76.940784934704411</v>
      </c>
      <c r="J77" s="2300" t="s">
        <v>267</v>
      </c>
      <c r="K77" s="2300"/>
      <c r="L77" s="2299"/>
      <c r="M77" s="2194"/>
      <c r="N77" s="2258" t="s">
        <v>1456</v>
      </c>
      <c r="O77" s="2193"/>
    </row>
    <row r="78" spans="1:15" ht="15.75">
      <c r="A78" s="2302"/>
      <c r="B78" s="2300" t="s">
        <v>146</v>
      </c>
      <c r="C78" s="2300" t="s">
        <v>1408</v>
      </c>
      <c r="D78" s="2300"/>
      <c r="E78" s="2304" t="s">
        <v>197</v>
      </c>
      <c r="F78" s="2472">
        <f>1*1000*VLOOKUP($C78,'[3]Standard values'!$C$9:$S$159,14, FALSE)</f>
        <v>26810</v>
      </c>
      <c r="G78" s="2472"/>
      <c r="H78" s="2300" t="s">
        <v>265</v>
      </c>
      <c r="I78" s="2303">
        <f>$I$77*F78/F$80</f>
        <v>42.02172080996975</v>
      </c>
      <c r="J78" s="2300" t="s">
        <v>267</v>
      </c>
      <c r="K78" s="2300"/>
      <c r="L78" s="2299"/>
      <c r="M78" s="2194"/>
      <c r="N78" s="2275"/>
      <c r="O78" s="2193"/>
    </row>
    <row r="79" spans="1:15" ht="15.75">
      <c r="A79" s="2302"/>
      <c r="B79" s="2300" t="s">
        <v>144</v>
      </c>
      <c r="C79" s="2300" t="s">
        <v>943</v>
      </c>
      <c r="D79" s="2300"/>
      <c r="E79" s="2304" t="s">
        <v>85</v>
      </c>
      <c r="F79" s="2472">
        <f>C57*1000*VLOOKUP($C79,'[3]Standard values'!$C$9:$S$159,14, FALSE)</f>
        <v>22278.481012658231</v>
      </c>
      <c r="G79" s="2472"/>
      <c r="H79" s="2300" t="s">
        <v>265</v>
      </c>
      <c r="I79" s="2303">
        <f>$I$77*F79/F$80</f>
        <v>34.91906412473466</v>
      </c>
      <c r="J79" s="2300" t="s">
        <v>267</v>
      </c>
      <c r="K79" s="2300"/>
      <c r="L79" s="2299"/>
      <c r="M79" s="2194"/>
      <c r="N79" s="2285"/>
      <c r="O79" s="2193"/>
    </row>
    <row r="80" spans="1:15">
      <c r="A80" s="2302"/>
      <c r="B80" s="2300"/>
      <c r="C80" s="2300"/>
      <c r="D80" s="2300"/>
      <c r="E80" s="2300" t="s">
        <v>266</v>
      </c>
      <c r="F80" s="2472">
        <f>SUM(F78:F79)</f>
        <v>49088.481012658231</v>
      </c>
      <c r="G80" s="2472"/>
      <c r="H80" s="2300" t="s">
        <v>265</v>
      </c>
      <c r="I80" s="2300"/>
      <c r="J80" s="2300"/>
      <c r="K80" s="2300"/>
      <c r="L80" s="2299"/>
      <c r="M80" s="2194"/>
      <c r="N80" s="2285"/>
      <c r="O80" s="2193"/>
    </row>
    <row r="81" spans="1:15" ht="14.25">
      <c r="A81" s="2239"/>
      <c r="B81" s="2237"/>
      <c r="C81" s="2237"/>
      <c r="D81" s="2237"/>
      <c r="E81" s="2236" t="s">
        <v>264</v>
      </c>
      <c r="F81" s="2238"/>
      <c r="G81" s="2238"/>
      <c r="H81" s="2196"/>
      <c r="I81" s="2237"/>
      <c r="J81" s="2236" t="s">
        <v>1451</v>
      </c>
      <c r="K81" s="2196"/>
      <c r="L81" s="2234">
        <f>I78</f>
        <v>42.02172080996975</v>
      </c>
      <c r="M81" s="2194"/>
      <c r="N81" s="2274">
        <f>+L81/$E$58</f>
        <v>1126.602334915289</v>
      </c>
      <c r="O81" s="2194"/>
    </row>
    <row r="82" spans="1:15">
      <c r="A82" s="2193"/>
      <c r="B82" s="2193"/>
      <c r="C82" s="2193"/>
      <c r="D82" s="2194"/>
      <c r="E82" s="2194"/>
      <c r="F82" s="2231"/>
      <c r="G82" s="2231"/>
      <c r="H82" s="2298"/>
      <c r="I82" s="2297"/>
      <c r="J82" s="2194"/>
      <c r="K82" s="2194"/>
      <c r="L82" s="2296"/>
      <c r="M82" s="2194"/>
      <c r="N82" s="2194"/>
      <c r="O82" s="2194"/>
    </row>
    <row r="83" spans="1:15">
      <c r="A83" s="2295"/>
      <c r="B83" s="2294"/>
      <c r="C83" s="2293"/>
      <c r="D83" s="2193"/>
      <c r="E83" s="2194"/>
      <c r="F83" s="2194"/>
      <c r="G83" s="2194"/>
      <c r="H83" s="2194"/>
      <c r="I83" s="2194"/>
      <c r="J83" s="2292"/>
      <c r="K83" s="2194"/>
      <c r="L83" s="2194"/>
      <c r="M83" s="2194"/>
      <c r="N83" s="2194"/>
      <c r="O83" s="2194"/>
    </row>
    <row r="84" spans="1:15" ht="15.75">
      <c r="A84" s="2229" t="s">
        <v>263</v>
      </c>
      <c r="B84" s="2227" t="s">
        <v>262</v>
      </c>
      <c r="C84" s="2228"/>
      <c r="D84" s="2228"/>
      <c r="E84" s="2229" t="s">
        <v>239</v>
      </c>
      <c r="F84" s="2227"/>
      <c r="G84" s="2227"/>
      <c r="H84" s="2228"/>
      <c r="I84" s="2227" t="s">
        <v>261</v>
      </c>
      <c r="J84" s="2291"/>
      <c r="K84" s="2291"/>
      <c r="L84" s="2290"/>
      <c r="M84" s="2194"/>
      <c r="N84" s="2282" t="s">
        <v>258</v>
      </c>
      <c r="O84" s="2194"/>
    </row>
    <row r="85" spans="1:15" ht="15.75">
      <c r="A85" s="2214"/>
      <c r="B85" s="2265" t="s">
        <v>1408</v>
      </c>
      <c r="C85" s="2281">
        <v>1</v>
      </c>
      <c r="D85" s="2212" t="s">
        <v>257</v>
      </c>
      <c r="E85" s="2266">
        <f>E56*C85</f>
        <v>31180.89775715406</v>
      </c>
      <c r="F85" s="2212" t="s">
        <v>1437</v>
      </c>
      <c r="G85" s="2212"/>
      <c r="H85" s="2289"/>
      <c r="I85" s="2246" t="s">
        <v>243</v>
      </c>
      <c r="J85" s="2245"/>
      <c r="K85" s="2245"/>
      <c r="L85" s="2244"/>
      <c r="M85" s="2194"/>
      <c r="N85" s="2280" t="s">
        <v>256</v>
      </c>
      <c r="O85" s="2194"/>
    </row>
    <row r="86" spans="1:15" ht="15.75">
      <c r="A86" s="2214"/>
      <c r="B86" s="2212"/>
      <c r="C86" s="2212"/>
      <c r="D86" s="2212"/>
      <c r="E86" s="2279">
        <f>E57*C85</f>
        <v>0.5106181569991658</v>
      </c>
      <c r="F86" s="2278" t="s">
        <v>83</v>
      </c>
      <c r="G86" s="2278"/>
      <c r="H86" s="2289"/>
      <c r="I86" s="2243" t="s">
        <v>1453</v>
      </c>
      <c r="J86" s="2243" t="s">
        <v>1454</v>
      </c>
      <c r="K86" s="2243" t="s">
        <v>245</v>
      </c>
      <c r="L86" s="2258" t="s">
        <v>1456</v>
      </c>
      <c r="M86" s="2194"/>
      <c r="N86" s="2277" t="s">
        <v>1456</v>
      </c>
      <c r="O86" s="2194"/>
    </row>
    <row r="87" spans="1:15">
      <c r="A87" s="2214"/>
      <c r="B87" s="2265" t="s">
        <v>1407</v>
      </c>
      <c r="C87" s="2212"/>
      <c r="D87" s="2212"/>
      <c r="E87" s="2266"/>
      <c r="F87" s="2212"/>
      <c r="G87" s="2212"/>
      <c r="H87" s="2212"/>
      <c r="I87" s="2212"/>
      <c r="J87" s="2212"/>
      <c r="K87" s="2212"/>
      <c r="L87" s="2275"/>
      <c r="M87" s="2194"/>
      <c r="N87" s="2275"/>
      <c r="O87" s="2194"/>
    </row>
    <row r="88" spans="1:15" ht="15.75">
      <c r="A88" s="2214"/>
      <c r="B88" s="2212" t="s">
        <v>1184</v>
      </c>
      <c r="C88" s="2242">
        <f>2*150</f>
        <v>300</v>
      </c>
      <c r="D88" s="2212" t="s">
        <v>1414</v>
      </c>
      <c r="E88" s="2287">
        <f>(C88*E86/VLOOKUP($B85,'[3]Standard values'!$C$9:$S$159,14, FALSE))/1000</f>
        <v>5.7137428981629901E-3</v>
      </c>
      <c r="F88" s="2212" t="s">
        <v>84</v>
      </c>
      <c r="G88" s="2212"/>
      <c r="H88" s="2212"/>
      <c r="I88" s="2215">
        <f>$E88*VLOOKUP($B88,'[3]Standard values'!$C$9:$S$159,15, FALSE)*VLOOKUP(C89,'[3]Standard values'!$C$9:$S$159,7, FALSE)/$E$149</f>
        <v>0.98851174934725861</v>
      </c>
      <c r="J88" s="2215">
        <f>$E88*((VLOOKUP($B88,'[3]Standard values'!$C$9:$S$159,15, FALSE)*VLOOKUP(C89,'[3]Standard values'!$C$9:$S$159,8, FALSE))+VLOOKUP($B88,'[3]Standard values'!$C$9:$S$159,16, FALSE))/$E$149</f>
        <v>5.5949272659455434E-5</v>
      </c>
      <c r="K88" s="2215">
        <f>$E88*((VLOOKUP($B88,'[3]Standard values'!$C$9:$S$159,15, FALSE)*VLOOKUP(C89,'[3]Standard values'!$C$9:$S$159,9, FALSE))+VLOOKUP($B88,'[3]Standard values'!$C$9:$S$159,17, FALSE))/$E$149</f>
        <v>0</v>
      </c>
      <c r="L88" s="2240">
        <f>I88*'[3]Standard values'!$D$10+J88*'[3]Standard values'!$D$11+K88*'[3]Standard values'!$D$12</f>
        <v>0.98991048116374503</v>
      </c>
      <c r="M88" s="2194"/>
      <c r="N88" s="2285">
        <f>+L88/E$58</f>
        <v>26.539500000000004</v>
      </c>
      <c r="O88" s="2194"/>
    </row>
    <row r="89" spans="1:15">
      <c r="A89" s="2214"/>
      <c r="B89" s="2217" t="s">
        <v>1374</v>
      </c>
      <c r="C89" s="2288" t="s">
        <v>1413</v>
      </c>
      <c r="D89" s="2212"/>
      <c r="E89" s="2214"/>
      <c r="F89" s="2212"/>
      <c r="G89" s="2212"/>
      <c r="H89" s="2212"/>
      <c r="I89" s="2215"/>
      <c r="J89" s="2215"/>
      <c r="K89" s="2215"/>
      <c r="L89" s="2240"/>
      <c r="M89" s="2194"/>
      <c r="N89" s="2285"/>
      <c r="O89" s="2194"/>
    </row>
    <row r="90" spans="1:15">
      <c r="A90" s="2214"/>
      <c r="B90" s="2212"/>
      <c r="C90" s="2267"/>
      <c r="D90" s="2212"/>
      <c r="E90" s="2287"/>
      <c r="F90" s="2212"/>
      <c r="G90" s="2212"/>
      <c r="H90" s="2212"/>
      <c r="I90" s="2215"/>
      <c r="J90" s="2215"/>
      <c r="K90" s="2215"/>
      <c r="L90" s="2240"/>
      <c r="M90" s="2194"/>
      <c r="N90" s="2285"/>
      <c r="O90" s="2194"/>
    </row>
    <row r="91" spans="1:15">
      <c r="A91" s="2214"/>
      <c r="B91" s="2265" t="s">
        <v>1457</v>
      </c>
      <c r="C91" s="2212"/>
      <c r="D91" s="2212"/>
      <c r="E91" s="2214"/>
      <c r="F91" s="2212"/>
      <c r="G91" s="2212"/>
      <c r="H91" s="2212"/>
      <c r="I91" s="2215"/>
      <c r="J91" s="2215"/>
      <c r="K91" s="2215"/>
      <c r="L91" s="2276"/>
      <c r="M91" s="2194"/>
      <c r="N91" s="2285"/>
      <c r="O91" s="2194"/>
    </row>
    <row r="92" spans="1:15" ht="15.75">
      <c r="A92" s="2286"/>
      <c r="B92" s="2212" t="s">
        <v>1371</v>
      </c>
      <c r="C92" s="2242">
        <v>8.4000000000000003E-4</v>
      </c>
      <c r="D92" s="2212" t="s">
        <v>254</v>
      </c>
      <c r="E92" s="2214"/>
      <c r="F92" s="2212"/>
      <c r="G92" s="2212"/>
      <c r="H92" s="2212"/>
      <c r="I92" s="2215">
        <f>$C92*$E$86*VLOOKUP($B92,'[3]Standard values'!$C$9:$S$159,7, FALSE)/$E$149</f>
        <v>0.10146738000000001</v>
      </c>
      <c r="J92" s="2215">
        <f>$C92*$E$86*VLOOKUP($B92,'[3]Standard values'!$C$9:$S$159,8, FALSE)/$E$149</f>
        <v>2.4745000000000002E-4</v>
      </c>
      <c r="K92" s="2215">
        <f>$C92*$E$86*VLOOKUP($B92,'[3]Standard values'!$C$9:$S$159,9, FALSE)/$E$149</f>
        <v>4.596666666666667E-6</v>
      </c>
      <c r="L92" s="2240">
        <f>I92*'[3]Standard values'!$D$10+J92*'[3]Standard values'!$D$11+K92*'[3]Standard values'!$D$12</f>
        <v>0.10902343666666668</v>
      </c>
      <c r="M92" s="2194"/>
      <c r="N92" s="2285">
        <f>+L92/E$58</f>
        <v>2.9229183370333338</v>
      </c>
      <c r="O92" s="2194"/>
    </row>
    <row r="93" spans="1:15" ht="14.25">
      <c r="A93" s="2239"/>
      <c r="B93" s="2237"/>
      <c r="C93" s="2237"/>
      <c r="D93" s="2237"/>
      <c r="E93" s="2239"/>
      <c r="F93" s="2238"/>
      <c r="G93" s="2238"/>
      <c r="H93" s="2238" t="s">
        <v>241</v>
      </c>
      <c r="I93" s="2237"/>
      <c r="J93" s="2236" t="s">
        <v>1451</v>
      </c>
      <c r="K93" s="2235"/>
      <c r="L93" s="2234">
        <f>L92+L88</f>
        <v>1.0989339178304116</v>
      </c>
      <c r="M93" s="2194"/>
      <c r="N93" s="2274">
        <f>+L93/E$58</f>
        <v>29.462418337033338</v>
      </c>
      <c r="O93" s="2194"/>
    </row>
    <row r="94" spans="1:15">
      <c r="A94" s="2193"/>
      <c r="B94" s="2193"/>
      <c r="C94" s="2193"/>
      <c r="D94" s="2193"/>
      <c r="E94" s="2193"/>
      <c r="F94" s="2233"/>
      <c r="G94" s="2233"/>
      <c r="H94" s="2233"/>
      <c r="I94" s="2193"/>
      <c r="J94" s="2232"/>
      <c r="K94" s="2231"/>
      <c r="L94" s="2284"/>
      <c r="M94" s="2194"/>
      <c r="N94" s="2193"/>
      <c r="O94" s="2194"/>
    </row>
    <row r="95" spans="1:15">
      <c r="A95" s="2193"/>
      <c r="B95" s="2193"/>
      <c r="C95" s="2193"/>
      <c r="D95" s="2193"/>
      <c r="E95" s="2193"/>
      <c r="F95" s="2233"/>
      <c r="G95" s="2233"/>
      <c r="H95" s="2233"/>
      <c r="I95" s="2193"/>
      <c r="J95" s="2232"/>
      <c r="K95" s="2231"/>
      <c r="L95" s="2284"/>
      <c r="M95" s="2194"/>
      <c r="N95" s="2194"/>
      <c r="O95" s="2194"/>
    </row>
    <row r="96" spans="1:15" ht="15.75">
      <c r="A96" s="2229" t="s">
        <v>259</v>
      </c>
      <c r="B96" s="2228"/>
      <c r="C96" s="2228"/>
      <c r="D96" s="2228"/>
      <c r="E96" s="2229" t="s">
        <v>239</v>
      </c>
      <c r="F96" s="2228"/>
      <c r="G96" s="2228"/>
      <c r="H96" s="2228"/>
      <c r="I96" s="2228"/>
      <c r="J96" s="2228"/>
      <c r="K96" s="2228"/>
      <c r="L96" s="2283"/>
      <c r="M96" s="2194"/>
      <c r="N96" s="2282" t="s">
        <v>258</v>
      </c>
      <c r="O96" s="2194"/>
    </row>
    <row r="97" spans="1:15" ht="15.75">
      <c r="A97" s="2214"/>
      <c r="B97" s="2265" t="s">
        <v>1428</v>
      </c>
      <c r="C97" s="2281">
        <v>1</v>
      </c>
      <c r="D97" s="2212" t="s">
        <v>257</v>
      </c>
      <c r="E97" s="2266">
        <f>E85*C97</f>
        <v>31180.89775715406</v>
      </c>
      <c r="F97" s="2212" t="s">
        <v>1437</v>
      </c>
      <c r="G97" s="2212"/>
      <c r="H97" s="2212"/>
      <c r="I97" s="2246" t="s">
        <v>243</v>
      </c>
      <c r="J97" s="2245"/>
      <c r="K97" s="2245"/>
      <c r="L97" s="2244"/>
      <c r="M97" s="2194"/>
      <c r="N97" s="2280" t="s">
        <v>256</v>
      </c>
      <c r="O97" s="2194"/>
    </row>
    <row r="98" spans="1:15" ht="15.75">
      <c r="A98" s="2214"/>
      <c r="B98" s="2212"/>
      <c r="C98" s="2212"/>
      <c r="D98" s="2212"/>
      <c r="E98" s="2279">
        <f>E86*C97</f>
        <v>0.5106181569991658</v>
      </c>
      <c r="F98" s="2278" t="s">
        <v>83</v>
      </c>
      <c r="G98" s="2278"/>
      <c r="H98" s="2212"/>
      <c r="I98" s="2243" t="s">
        <v>1453</v>
      </c>
      <c r="J98" s="2243" t="s">
        <v>1454</v>
      </c>
      <c r="K98" s="2243" t="s">
        <v>245</v>
      </c>
      <c r="L98" s="2258" t="s">
        <v>1456</v>
      </c>
      <c r="M98" s="2194"/>
      <c r="N98" s="2258" t="s">
        <v>1456</v>
      </c>
      <c r="O98" s="2194"/>
    </row>
    <row r="99" spans="1:15">
      <c r="A99" s="2214"/>
      <c r="B99" s="2265" t="s">
        <v>1429</v>
      </c>
      <c r="C99" s="2212"/>
      <c r="D99" s="2212"/>
      <c r="E99" s="2214"/>
      <c r="F99" s="2212"/>
      <c r="G99" s="2212"/>
      <c r="H99" s="2212"/>
      <c r="I99" s="2215"/>
      <c r="J99" s="2215"/>
      <c r="K99" s="2215"/>
      <c r="L99" s="2276"/>
      <c r="M99" s="2194"/>
      <c r="N99" s="2275"/>
      <c r="O99" s="2194"/>
    </row>
    <row r="100" spans="1:15" ht="15.75">
      <c r="A100" s="2214"/>
      <c r="B100" s="2212" t="s">
        <v>1371</v>
      </c>
      <c r="C100" s="2242">
        <v>3.3999999999999998E-3</v>
      </c>
      <c r="D100" s="2212" t="s">
        <v>254</v>
      </c>
      <c r="E100" s="2214"/>
      <c r="F100" s="2212"/>
      <c r="G100" s="2212"/>
      <c r="H100" s="2212"/>
      <c r="I100" s="2215">
        <f>$C100*$E$86*VLOOKUP($B100,'[3]Standard values'!$C$9:$S$159,7, FALSE)/$E$149</f>
        <v>0.41070129999999994</v>
      </c>
      <c r="J100" s="2215">
        <f>$C100*$E$86*VLOOKUP($B100,'[3]Standard values'!$C$9:$S$159,8, FALSE)/$E$149</f>
        <v>1.0015833333333331E-3</v>
      </c>
      <c r="K100" s="2215">
        <f>$C100*$E$86*VLOOKUP($B100,'[3]Standard values'!$C$9:$S$159,9, FALSE)/$E$149</f>
        <v>1.8605555555555555E-5</v>
      </c>
      <c r="L100" s="2240">
        <f>I100*'[3]Standard values'!$D$10+J100*'[3]Standard values'!$D$11+K100*'[3]Standard values'!$D$12</f>
        <v>0.44128533888888882</v>
      </c>
      <c r="M100" s="2194"/>
      <c r="N100" s="2274">
        <f>+L100/$E$58</f>
        <v>11.830859935611109</v>
      </c>
      <c r="O100" s="2194"/>
    </row>
    <row r="101" spans="1:15" ht="14.25">
      <c r="A101" s="2239"/>
      <c r="B101" s="2237"/>
      <c r="C101" s="2237"/>
      <c r="D101" s="2237"/>
      <c r="E101" s="2239"/>
      <c r="F101" s="2238"/>
      <c r="G101" s="2238"/>
      <c r="H101" s="2238" t="s">
        <v>241</v>
      </c>
      <c r="I101" s="2237"/>
      <c r="J101" s="2236" t="s">
        <v>1451</v>
      </c>
      <c r="K101" s="2235"/>
      <c r="L101" s="2234">
        <f>L100</f>
        <v>0.44128533888888882</v>
      </c>
      <c r="M101" s="2194"/>
      <c r="N101" s="2193"/>
      <c r="O101" s="2194"/>
    </row>
    <row r="102" spans="1:15">
      <c r="A102" s="2193"/>
      <c r="B102" s="2193"/>
      <c r="C102" s="2193"/>
      <c r="D102" s="2193"/>
      <c r="E102" s="2193"/>
      <c r="F102" s="2233"/>
      <c r="G102" s="2233"/>
      <c r="H102" s="2233"/>
      <c r="I102" s="2193"/>
      <c r="J102" s="2232"/>
      <c r="K102" s="2231"/>
      <c r="L102" s="2272"/>
      <c r="M102" s="2194"/>
      <c r="N102" s="2193"/>
      <c r="O102" s="2194"/>
    </row>
    <row r="103" spans="1:15">
      <c r="A103" s="2193"/>
      <c r="B103" s="2193"/>
      <c r="C103" s="2193"/>
      <c r="D103" s="2193"/>
      <c r="E103" s="2193"/>
      <c r="F103" s="2233"/>
      <c r="G103" s="2233"/>
      <c r="H103" s="2233"/>
      <c r="I103" s="2193"/>
      <c r="J103" s="2232"/>
      <c r="K103" s="2231"/>
      <c r="L103" s="2272"/>
      <c r="M103" s="2194"/>
      <c r="N103" s="2194"/>
      <c r="O103" s="2194"/>
    </row>
    <row r="104" spans="1:15" ht="15.75">
      <c r="A104" s="2229" t="s">
        <v>253</v>
      </c>
      <c r="B104" s="2252"/>
      <c r="C104" s="2251"/>
      <c r="D104" s="2228"/>
      <c r="E104" s="2250"/>
      <c r="F104" s="2228"/>
      <c r="G104" s="2228"/>
      <c r="H104" s="2228"/>
      <c r="I104" s="2228"/>
      <c r="J104" s="2228"/>
      <c r="K104" s="2228"/>
      <c r="L104" s="2249"/>
      <c r="M104" s="2194"/>
      <c r="N104" s="2194"/>
      <c r="O104" s="2194"/>
    </row>
    <row r="105" spans="1:15" ht="15.75">
      <c r="A105" s="2248"/>
      <c r="B105" s="2271" t="s">
        <v>1193</v>
      </c>
      <c r="C105" s="2265" t="s">
        <v>252</v>
      </c>
      <c r="D105" s="2212"/>
      <c r="E105" s="2214"/>
      <c r="F105" s="2212"/>
      <c r="G105" s="2212"/>
      <c r="H105" s="2212"/>
      <c r="I105" s="2212"/>
      <c r="J105" s="2212"/>
      <c r="K105" s="2212"/>
      <c r="L105" s="2244"/>
      <c r="M105" s="2194"/>
      <c r="N105" s="2193"/>
      <c r="O105" s="2193"/>
    </row>
    <row r="106" spans="1:15" ht="15.75">
      <c r="A106" s="2248"/>
      <c r="B106" s="2265"/>
      <c r="C106" s="2267"/>
      <c r="D106" s="2264" t="s">
        <v>747</v>
      </c>
      <c r="E106" s="2263" t="str">
        <f>IF(D108="Yes","From :  ", " ")</f>
        <v xml:space="preserve"> </v>
      </c>
      <c r="F106" s="3240" t="str">
        <f>IF(D108="Yes",[3]LUC!H$35 &amp; " ; " &amp; [3]LUC!H$36 &amp; " ; " &amp; [3]LUC!H$39 &amp; " ; " &amp; [3]LUC!H$40 &amp; " ; " &amp; [3]LUC!H$45 &amp; " ; " &amp; [3]LUC!H$46 &amp; " ; " &amp; [3]LUC!H$47, " ")</f>
        <v xml:space="preserve"> </v>
      </c>
      <c r="G106" s="3240"/>
      <c r="H106" s="3240"/>
      <c r="I106" s="3240"/>
      <c r="J106" s="3240"/>
      <c r="K106" s="3240"/>
      <c r="L106" s="3241"/>
      <c r="M106" s="2194"/>
      <c r="N106" s="2193"/>
      <c r="O106" s="2193"/>
    </row>
    <row r="107" spans="1:15" ht="15.75">
      <c r="A107" s="2248"/>
      <c r="B107" s="2243" t="s">
        <v>251</v>
      </c>
      <c r="C107" s="2270" t="s">
        <v>747</v>
      </c>
      <c r="D107" s="2264" t="s">
        <v>748</v>
      </c>
      <c r="E107" s="2266"/>
      <c r="F107" s="3240"/>
      <c r="G107" s="3240"/>
      <c r="H107" s="3240"/>
      <c r="I107" s="3240"/>
      <c r="J107" s="3240"/>
      <c r="K107" s="3240"/>
      <c r="L107" s="3241"/>
      <c r="M107" s="2194"/>
      <c r="N107" s="2193"/>
      <c r="O107" s="2193"/>
    </row>
    <row r="108" spans="1:15" ht="15.75">
      <c r="A108" s="2248"/>
      <c r="B108" s="2265"/>
      <c r="C108" s="2261" t="str">
        <f>IF(D108="Yes","Go to", " ")</f>
        <v xml:space="preserve"> </v>
      </c>
      <c r="D108" s="2264" t="s">
        <v>748</v>
      </c>
      <c r="E108" s="2263" t="str">
        <f>IF(D108="Yes","To    :   ", " ")</f>
        <v xml:space="preserve"> </v>
      </c>
      <c r="F108" s="3242" t="str">
        <f>IF(D108="Yes", [3]LUC!D$35 &amp; " ; " &amp; [3]LUC!D$36 &amp; " ; " &amp; [3]LUC!D$39 &amp; " ; " &amp; [3]LUC!D$40 &amp; " ; " &amp; [3]LUC!D$45 &amp; " ; " &amp; [3]LUC!D$46 &amp; " ; " &amp; [3]LUC!D$47, " ")</f>
        <v xml:space="preserve"> </v>
      </c>
      <c r="G108" s="3242"/>
      <c r="H108" s="3242"/>
      <c r="I108" s="3242"/>
      <c r="J108" s="3242"/>
      <c r="K108" s="3242"/>
      <c r="L108" s="3243"/>
      <c r="M108" s="2194"/>
      <c r="N108" s="2193"/>
      <c r="O108" s="2193"/>
    </row>
    <row r="109" spans="1:15" ht="15.75">
      <c r="A109" s="2248"/>
      <c r="B109" s="2247"/>
      <c r="C109" s="551" t="str">
        <f>IF(D108="Yes","sheet 'LUC' ", " ")</f>
        <v xml:space="preserve"> </v>
      </c>
      <c r="D109" s="2212"/>
      <c r="E109" s="2260"/>
      <c r="F109" s="3242"/>
      <c r="G109" s="3242"/>
      <c r="H109" s="3242"/>
      <c r="I109" s="3242"/>
      <c r="J109" s="3242"/>
      <c r="K109" s="3242"/>
      <c r="L109" s="3243"/>
      <c r="M109" s="2194"/>
      <c r="N109" s="2193"/>
      <c r="O109" s="2193"/>
    </row>
    <row r="110" spans="1:15" ht="15.75">
      <c r="A110" s="2248"/>
      <c r="B110" s="2247"/>
      <c r="C110" s="2261" t="str">
        <f>IF(D108="Yes","to calculate the land use change", " ")</f>
        <v xml:space="preserve"> </v>
      </c>
      <c r="D110" s="2212"/>
      <c r="E110" s="2260"/>
      <c r="F110" s="2259"/>
      <c r="G110" s="2259"/>
      <c r="H110" s="2259"/>
      <c r="I110" s="2246" t="s">
        <v>243</v>
      </c>
      <c r="J110" s="2245"/>
      <c r="K110" s="2259"/>
      <c r="L110" s="2262"/>
      <c r="M110" s="2194"/>
      <c r="N110" s="2193"/>
      <c r="O110" s="2193"/>
    </row>
    <row r="111" spans="1:15" ht="16.5">
      <c r="A111" s="2248"/>
      <c r="B111" s="2247"/>
      <c r="C111" s="2261"/>
      <c r="D111" s="2212"/>
      <c r="E111" s="2260"/>
      <c r="F111" s="2259"/>
      <c r="G111" s="2259"/>
      <c r="H111" s="2259"/>
      <c r="I111" s="2243" t="s">
        <v>1453</v>
      </c>
      <c r="J111" s="2243" t="s">
        <v>1454</v>
      </c>
      <c r="K111" s="2243" t="s">
        <v>245</v>
      </c>
      <c r="L111" s="2258" t="s">
        <v>1456</v>
      </c>
      <c r="M111" s="2194"/>
      <c r="N111" s="2193"/>
      <c r="O111" s="2193"/>
    </row>
    <row r="112" spans="1:15" ht="16.5">
      <c r="A112" s="2248"/>
      <c r="B112" s="2257" t="s">
        <v>250</v>
      </c>
      <c r="C112" s="2256">
        <f>IF(D108="Yes",[3]LUC!$J$82,0)</f>
        <v>0</v>
      </c>
      <c r="D112" s="2255" t="s">
        <v>244</v>
      </c>
      <c r="E112" s="2214"/>
      <c r="F112" s="2212"/>
      <c r="G112" s="2212"/>
      <c r="H112" s="2212"/>
      <c r="I112" s="2215">
        <f>$C112*1000000/$E$148</f>
        <v>0</v>
      </c>
      <c r="J112" s="2215">
        <v>0</v>
      </c>
      <c r="K112" s="2215">
        <v>0</v>
      </c>
      <c r="L112" s="2254">
        <f>I112*'[3]Standard values'!$D$10+J112*'[3]Standard values'!$D$11+K112*'[3]Standard values'!$D$12</f>
        <v>0</v>
      </c>
      <c r="M112" s="2194"/>
      <c r="N112" s="2193"/>
      <c r="O112" s="2193"/>
    </row>
    <row r="113" spans="1:15" ht="15.75">
      <c r="A113" s="2248"/>
      <c r="B113" s="2247"/>
      <c r="C113" s="2246"/>
      <c r="D113" s="2212"/>
      <c r="E113" s="2214"/>
      <c r="F113" s="2212"/>
      <c r="G113" s="2212"/>
      <c r="H113" s="2212"/>
      <c r="I113" s="2215"/>
      <c r="J113" s="2215"/>
      <c r="K113" s="2215"/>
      <c r="L113" s="2240"/>
      <c r="M113" s="2194"/>
      <c r="N113" s="2193"/>
      <c r="O113" s="2193"/>
    </row>
    <row r="114" spans="1:15" ht="15.75">
      <c r="A114" s="2214"/>
      <c r="B114" s="2243" t="s">
        <v>249</v>
      </c>
      <c r="C114" s="2242">
        <v>0</v>
      </c>
      <c r="D114" s="2241" t="s">
        <v>242</v>
      </c>
      <c r="E114" s="2214"/>
      <c r="F114" s="2212"/>
      <c r="G114" s="2212"/>
      <c r="H114" s="2212"/>
      <c r="I114" s="2215">
        <f>-C114</f>
        <v>0</v>
      </c>
      <c r="J114" s="2215">
        <v>0</v>
      </c>
      <c r="K114" s="2215">
        <v>0</v>
      </c>
      <c r="L114" s="2254">
        <f>I114*'[3]Standard values'!$D$10+J114*'[3]Standard values'!$D$11+K114*'[3]Standard values'!$D$12</f>
        <v>0</v>
      </c>
      <c r="M114" s="2194"/>
      <c r="N114" s="2193"/>
      <c r="O114" s="2193"/>
    </row>
    <row r="115" spans="1:15">
      <c r="A115" s="2214"/>
      <c r="B115" s="2243" t="str">
        <f>IF(C114=-29,"Year of conversion:","")</f>
        <v/>
      </c>
      <c r="C115" s="2268"/>
      <c r="D115" s="2241" t="str">
        <f>IF(C114=-29,"Fill in the year of conversion","")</f>
        <v/>
      </c>
      <c r="E115" s="2214"/>
      <c r="F115" s="2212"/>
      <c r="G115" s="2212"/>
      <c r="H115" s="2212"/>
      <c r="I115" s="2212"/>
      <c r="J115" s="2212"/>
      <c r="K115" s="2215"/>
      <c r="L115" s="2240">
        <f>SUM(L112:L114)</f>
        <v>0</v>
      </c>
      <c r="M115" s="2194"/>
      <c r="N115" s="2193"/>
      <c r="O115" s="2193"/>
    </row>
    <row r="116" spans="1:15">
      <c r="A116" s="2214"/>
      <c r="B116" s="2243"/>
      <c r="C116" s="2243"/>
      <c r="D116" s="2241"/>
      <c r="E116" s="2214"/>
      <c r="F116" s="2212"/>
      <c r="G116" s="2212"/>
      <c r="H116" s="2212"/>
      <c r="I116" s="2212"/>
      <c r="J116" s="2212"/>
      <c r="K116" s="2215"/>
      <c r="L116" s="2253"/>
      <c r="M116" s="2194"/>
      <c r="N116" s="2193"/>
      <c r="O116" s="2193"/>
    </row>
    <row r="117" spans="1:15" ht="14.25">
      <c r="A117" s="2239"/>
      <c r="B117" s="2237"/>
      <c r="C117" s="2237"/>
      <c r="D117" s="2237"/>
      <c r="E117" s="2239"/>
      <c r="F117" s="2238"/>
      <c r="G117" s="2238"/>
      <c r="H117" s="2238" t="s">
        <v>241</v>
      </c>
      <c r="I117" s="2237"/>
      <c r="J117" s="2236" t="s">
        <v>1451</v>
      </c>
      <c r="K117" s="2235"/>
      <c r="L117" s="2234">
        <f>L115</f>
        <v>0</v>
      </c>
      <c r="M117" s="2194"/>
      <c r="N117" s="2193"/>
      <c r="O117" s="2193"/>
    </row>
    <row r="118" spans="1:15">
      <c r="A118" s="2193"/>
      <c r="B118" s="2193"/>
      <c r="C118" s="2193"/>
      <c r="D118" s="2193"/>
      <c r="E118" s="2193"/>
      <c r="F118" s="2233"/>
      <c r="G118" s="2233"/>
      <c r="H118" s="2233"/>
      <c r="I118" s="2193"/>
      <c r="J118" s="2232"/>
      <c r="K118" s="2231"/>
      <c r="L118" s="2230"/>
      <c r="M118" s="2194"/>
      <c r="N118" s="2193"/>
      <c r="O118" s="2193"/>
    </row>
    <row r="119" spans="1:15">
      <c r="A119" s="2193"/>
      <c r="B119" s="2193"/>
      <c r="C119" s="2193"/>
      <c r="D119" s="2193"/>
      <c r="E119" s="2193"/>
      <c r="F119" s="2233"/>
      <c r="G119" s="2233"/>
      <c r="H119" s="2233"/>
      <c r="I119" s="2193"/>
      <c r="J119" s="2232"/>
      <c r="K119" s="2231"/>
      <c r="L119" s="2230"/>
      <c r="M119" s="2194"/>
      <c r="N119" s="2193"/>
      <c r="O119" s="2193"/>
    </row>
    <row r="120" spans="1:15" ht="15.75">
      <c r="A120" s="2229" t="s">
        <v>248</v>
      </c>
      <c r="B120" s="2252"/>
      <c r="C120" s="2251"/>
      <c r="D120" s="2228"/>
      <c r="E120" s="2250"/>
      <c r="F120" s="2228"/>
      <c r="G120" s="2228"/>
      <c r="H120" s="2228"/>
      <c r="I120" s="2228"/>
      <c r="J120" s="2228"/>
      <c r="K120" s="2228"/>
      <c r="L120" s="2249"/>
      <c r="M120" s="2194"/>
      <c r="N120" s="2193"/>
      <c r="O120" s="2193"/>
    </row>
    <row r="121" spans="1:15" ht="15.75">
      <c r="A121" s="2248"/>
      <c r="B121" s="2247" t="s">
        <v>1192</v>
      </c>
      <c r="C121" s="2246" t="s">
        <v>247</v>
      </c>
      <c r="D121" s="2211"/>
      <c r="E121" s="2214"/>
      <c r="F121" s="2212"/>
      <c r="G121" s="2212"/>
      <c r="H121" s="2212"/>
      <c r="I121" s="2246" t="s">
        <v>243</v>
      </c>
      <c r="J121" s="2245"/>
      <c r="K121" s="2245"/>
      <c r="L121" s="2244"/>
      <c r="M121" s="2194"/>
      <c r="N121" s="2193"/>
      <c r="O121" s="2193"/>
    </row>
    <row r="122" spans="1:15" ht="15.75" customHeight="1">
      <c r="A122" s="2248"/>
      <c r="B122" s="2265"/>
      <c r="C122" s="2267"/>
      <c r="D122" s="2264" t="s">
        <v>747</v>
      </c>
      <c r="E122" s="2263" t="str">
        <f>IF(D124="Yes","From :  ", " ")</f>
        <v xml:space="preserve"> </v>
      </c>
      <c r="F122" s="3240" t="str">
        <f>IF(D124="Yes",[3]Esca!H$42 &amp; ", " &amp; [3]Esca!H$43 &amp; " input ","")</f>
        <v/>
      </c>
      <c r="G122" s="3240"/>
      <c r="H122" s="3240"/>
      <c r="I122" s="3240"/>
      <c r="J122" s="3240"/>
      <c r="K122" s="3240"/>
      <c r="L122" s="3241"/>
      <c r="M122" s="2194"/>
      <c r="N122" s="2193"/>
      <c r="O122" s="2193"/>
    </row>
    <row r="123" spans="1:15" ht="15.75">
      <c r="A123" s="2248"/>
      <c r="B123" s="2243" t="s">
        <v>246</v>
      </c>
      <c r="C123" s="2267"/>
      <c r="D123" s="2264" t="s">
        <v>748</v>
      </c>
      <c r="E123" s="2266"/>
      <c r="F123" s="3240"/>
      <c r="G123" s="3240"/>
      <c r="H123" s="3240"/>
      <c r="I123" s="3240"/>
      <c r="J123" s="3240"/>
      <c r="K123" s="3240"/>
      <c r="L123" s="3241"/>
      <c r="M123" s="2194"/>
      <c r="N123" s="2193"/>
      <c r="O123" s="2193"/>
    </row>
    <row r="124" spans="1:15" ht="15.75" customHeight="1">
      <c r="A124" s="2248"/>
      <c r="B124" s="2265"/>
      <c r="C124" s="2261" t="str">
        <f>IF(D124="Yes","Go to", " ")</f>
        <v xml:space="preserve"> </v>
      </c>
      <c r="D124" s="2264" t="s">
        <v>748</v>
      </c>
      <c r="E124" s="2263" t="str">
        <f>IF(D124="Yes","To    :   ", " ")</f>
        <v xml:space="preserve"> </v>
      </c>
      <c r="F124" s="3240" t="str">
        <f>IF(D124="Yes",[3]Esca!D$42 &amp; ", " &amp; [3]Esca!D$43 &amp; " input ","")</f>
        <v/>
      </c>
      <c r="G124" s="3240"/>
      <c r="H124" s="3240"/>
      <c r="I124" s="3240"/>
      <c r="J124" s="3240"/>
      <c r="K124" s="3240"/>
      <c r="L124" s="3241"/>
      <c r="M124" s="2194"/>
      <c r="N124" s="2193"/>
      <c r="O124" s="2193"/>
    </row>
    <row r="125" spans="1:15" ht="15.75">
      <c r="A125" s="2248"/>
      <c r="B125" s="2247"/>
      <c r="C125" s="551" t="str">
        <f>IF(D124="Yes","sheet 'Esca' ", " ")</f>
        <v xml:space="preserve"> </v>
      </c>
      <c r="D125" s="2212"/>
      <c r="E125" s="2260"/>
      <c r="F125" s="3240"/>
      <c r="G125" s="3240"/>
      <c r="H125" s="3240"/>
      <c r="I125" s="3240"/>
      <c r="J125" s="3240"/>
      <c r="K125" s="3240"/>
      <c r="L125" s="3241"/>
      <c r="M125" s="2194"/>
      <c r="N125" s="2193"/>
      <c r="O125" s="2193"/>
    </row>
    <row r="126" spans="1:15" ht="15.75">
      <c r="A126" s="2248"/>
      <c r="B126" s="2247"/>
      <c r="C126" s="2261" t="str">
        <f>IF(D124="Yes","to calculate the soil carbon accumulation", " ")</f>
        <v xml:space="preserve"> </v>
      </c>
      <c r="D126" s="2212"/>
      <c r="E126" s="2260"/>
      <c r="F126" s="2259"/>
      <c r="G126" s="2259"/>
      <c r="H126" s="2259"/>
      <c r="I126" s="2246" t="s">
        <v>243</v>
      </c>
      <c r="J126" s="2245"/>
      <c r="K126" s="2259"/>
      <c r="L126" s="2262"/>
      <c r="M126" s="2194"/>
      <c r="N126" s="2193"/>
      <c r="O126" s="2193"/>
    </row>
    <row r="127" spans="1:15" ht="16.5">
      <c r="A127" s="2248"/>
      <c r="B127" s="2247"/>
      <c r="C127" s="2261"/>
      <c r="D127" s="2212"/>
      <c r="E127" s="2260"/>
      <c r="F127" s="2259"/>
      <c r="G127" s="2259"/>
      <c r="H127" s="2259"/>
      <c r="I127" s="2243" t="s">
        <v>1453</v>
      </c>
      <c r="J127" s="2243" t="s">
        <v>1454</v>
      </c>
      <c r="K127" s="2243" t="s">
        <v>245</v>
      </c>
      <c r="L127" s="2258" t="s">
        <v>1456</v>
      </c>
      <c r="M127" s="2194"/>
      <c r="N127" s="2193"/>
      <c r="O127" s="2193"/>
    </row>
    <row r="128" spans="1:15" ht="16.5">
      <c r="A128" s="2248"/>
      <c r="B128" s="2257" t="s">
        <v>834</v>
      </c>
      <c r="C128" s="2256">
        <f>IF(D124="yes",[3]Esca!$J$77,0)</f>
        <v>0</v>
      </c>
      <c r="D128" s="2255" t="s">
        <v>244</v>
      </c>
      <c r="E128" s="2214"/>
      <c r="F128" s="2212"/>
      <c r="G128" s="2212"/>
      <c r="H128" s="2212"/>
      <c r="I128" s="2215">
        <f>$C128*1000000/$E$148</f>
        <v>0</v>
      </c>
      <c r="J128" s="2215">
        <v>0</v>
      </c>
      <c r="K128" s="2215">
        <v>0</v>
      </c>
      <c r="L128" s="2254">
        <f>I128*'[3]Standard values'!$D$10+J128*'[3]Standard values'!$D$11+K128*'[3]Standard values'!$D$12</f>
        <v>0</v>
      </c>
      <c r="M128" s="2194"/>
      <c r="N128" s="2193"/>
      <c r="O128" s="2193"/>
    </row>
    <row r="129" spans="1:15">
      <c r="A129" s="2214"/>
      <c r="B129" s="2243"/>
      <c r="C129" s="2243"/>
      <c r="D129" s="2241"/>
      <c r="E129" s="2214"/>
      <c r="F129" s="2212"/>
      <c r="G129" s="2212"/>
      <c r="H129" s="2212"/>
      <c r="I129" s="2212"/>
      <c r="J129" s="2212"/>
      <c r="K129" s="2215"/>
      <c r="L129" s="2240">
        <f>SUM(L128:L128)</f>
        <v>0</v>
      </c>
      <c r="M129" s="2194"/>
      <c r="N129" s="2193"/>
      <c r="O129" s="2193"/>
    </row>
    <row r="130" spans="1:15">
      <c r="A130" s="2214"/>
      <c r="B130" s="2243"/>
      <c r="C130" s="2243"/>
      <c r="D130" s="2241"/>
      <c r="E130" s="2214"/>
      <c r="F130" s="2212"/>
      <c r="G130" s="2212"/>
      <c r="H130" s="2212"/>
      <c r="I130" s="2212"/>
      <c r="J130" s="2212"/>
      <c r="K130" s="2215"/>
      <c r="L130" s="2253"/>
      <c r="M130" s="2194"/>
      <c r="N130" s="2193"/>
      <c r="O130" s="2193"/>
    </row>
    <row r="131" spans="1:15" ht="14.25">
      <c r="A131" s="2239"/>
      <c r="B131" s="2237"/>
      <c r="C131" s="2237"/>
      <c r="D131" s="2237"/>
      <c r="E131" s="2239"/>
      <c r="F131" s="2238"/>
      <c r="G131" s="2238"/>
      <c r="H131" s="2238" t="s">
        <v>241</v>
      </c>
      <c r="I131" s="2237"/>
      <c r="J131" s="2236" t="s">
        <v>1451</v>
      </c>
      <c r="K131" s="2235"/>
      <c r="L131" s="2234">
        <f>L129</f>
        <v>0</v>
      </c>
      <c r="M131" s="2194"/>
      <c r="N131" s="2193"/>
      <c r="O131" s="2193"/>
    </row>
    <row r="132" spans="1:15">
      <c r="A132" s="2193"/>
      <c r="B132" s="2193"/>
      <c r="C132" s="2193"/>
      <c r="D132" s="2193"/>
      <c r="E132" s="2193"/>
      <c r="F132" s="2233"/>
      <c r="G132" s="2233"/>
      <c r="H132" s="2233"/>
      <c r="I132" s="2193"/>
      <c r="J132" s="2232"/>
      <c r="K132" s="2231"/>
      <c r="L132" s="2230"/>
      <c r="M132" s="2194"/>
      <c r="N132" s="2193"/>
      <c r="O132" s="2193"/>
    </row>
    <row r="133" spans="1:15">
      <c r="A133" s="2193"/>
      <c r="B133" s="2193"/>
      <c r="C133" s="2193"/>
      <c r="D133" s="2193" t="s">
        <v>748</v>
      </c>
      <c r="E133" s="2193"/>
      <c r="F133" s="2233"/>
      <c r="G133" s="2233"/>
      <c r="H133" s="2233"/>
      <c r="I133" s="2193"/>
      <c r="J133" s="2232"/>
      <c r="K133" s="2231"/>
      <c r="L133" s="2230"/>
      <c r="M133" s="2194"/>
      <c r="N133" s="2193"/>
      <c r="O133" s="2193"/>
    </row>
    <row r="134" spans="1:15" ht="18.75">
      <c r="A134" s="2229" t="s">
        <v>1190</v>
      </c>
      <c r="B134" s="2252"/>
      <c r="C134" s="2251"/>
      <c r="D134" s="2228"/>
      <c r="E134" s="2250"/>
      <c r="F134" s="2228"/>
      <c r="G134" s="2228"/>
      <c r="H134" s="2228"/>
      <c r="I134" s="2228"/>
      <c r="J134" s="2228"/>
      <c r="K134" s="2228"/>
      <c r="L134" s="2249"/>
      <c r="M134" s="2194"/>
      <c r="N134" s="2193"/>
      <c r="O134" s="2193"/>
    </row>
    <row r="135" spans="1:15" ht="15.75">
      <c r="A135" s="2248"/>
      <c r="B135" s="2247" t="s">
        <v>1188</v>
      </c>
      <c r="C135" s="2246"/>
      <c r="D135" s="2212"/>
      <c r="E135" s="2214"/>
      <c r="F135" s="2212"/>
      <c r="G135" s="2212"/>
      <c r="H135" s="2212"/>
      <c r="I135" s="2246" t="s">
        <v>243</v>
      </c>
      <c r="J135" s="2245"/>
      <c r="K135" s="2245"/>
      <c r="L135" s="2244"/>
      <c r="M135" s="2194"/>
      <c r="N135" s="2193"/>
      <c r="O135" s="2193"/>
    </row>
    <row r="136" spans="1:15" ht="15.75">
      <c r="A136" s="2214"/>
      <c r="B136" s="2243"/>
      <c r="C136" s="2242">
        <v>0</v>
      </c>
      <c r="D136" s="2241" t="s">
        <v>242</v>
      </c>
      <c r="E136" s="2214"/>
      <c r="F136" s="2212"/>
      <c r="G136" s="2212"/>
      <c r="H136" s="2212"/>
      <c r="I136" s="2212"/>
      <c r="J136" s="2212"/>
      <c r="K136" s="2215"/>
      <c r="L136" s="2240">
        <f>C136</f>
        <v>0</v>
      </c>
      <c r="M136" s="2194"/>
      <c r="N136" s="2193"/>
      <c r="O136" s="2193"/>
    </row>
    <row r="137" spans="1:15" ht="14.25">
      <c r="A137" s="2239"/>
      <c r="B137" s="2237"/>
      <c r="C137" s="2198"/>
      <c r="D137" s="2237"/>
      <c r="E137" s="2239"/>
      <c r="F137" s="2238"/>
      <c r="G137" s="2238"/>
      <c r="H137" s="2238" t="s">
        <v>241</v>
      </c>
      <c r="I137" s="2237"/>
      <c r="J137" s="2236" t="s">
        <v>1451</v>
      </c>
      <c r="K137" s="2235"/>
      <c r="L137" s="2234">
        <f>C136</f>
        <v>0</v>
      </c>
      <c r="M137" s="2194"/>
      <c r="N137" s="2193"/>
      <c r="O137" s="2193"/>
    </row>
    <row r="138" spans="1:15">
      <c r="A138" s="2193"/>
      <c r="B138" s="2193"/>
      <c r="C138" s="2193"/>
      <c r="D138" s="2193"/>
      <c r="E138" s="2193"/>
      <c r="F138" s="2233"/>
      <c r="G138" s="2233"/>
      <c r="H138" s="2233"/>
      <c r="I138" s="2193"/>
      <c r="J138" s="2232"/>
      <c r="K138" s="2231"/>
      <c r="L138" s="2230"/>
      <c r="M138" s="2194"/>
      <c r="N138" s="2193"/>
      <c r="O138" s="2193"/>
    </row>
    <row r="139" spans="1:15">
      <c r="A139" s="2193"/>
      <c r="B139" s="2193"/>
      <c r="C139" s="2193"/>
      <c r="D139" s="2193"/>
      <c r="E139" s="2193"/>
      <c r="F139" s="2233"/>
      <c r="G139" s="2233"/>
      <c r="H139" s="2233"/>
      <c r="I139" s="2193"/>
      <c r="J139" s="2232"/>
      <c r="K139" s="2231"/>
      <c r="L139" s="2230"/>
      <c r="M139" s="2194"/>
      <c r="N139" s="2193"/>
      <c r="O139" s="2193"/>
    </row>
    <row r="140" spans="1:15" ht="18.75">
      <c r="A140" s="2229" t="s">
        <v>1191</v>
      </c>
      <c r="B140" s="2252"/>
      <c r="C140" s="2251"/>
      <c r="D140" s="2228"/>
      <c r="E140" s="2250"/>
      <c r="F140" s="2228"/>
      <c r="G140" s="2228"/>
      <c r="H140" s="2228"/>
      <c r="I140" s="2228"/>
      <c r="J140" s="2228"/>
      <c r="K140" s="2228"/>
      <c r="L140" s="2249"/>
      <c r="M140" s="2194"/>
      <c r="N140" s="2193"/>
      <c r="O140" s="2193"/>
    </row>
    <row r="141" spans="1:15" ht="15.75">
      <c r="A141" s="2248"/>
      <c r="B141" s="2247" t="s">
        <v>1189</v>
      </c>
      <c r="C141" s="2246"/>
      <c r="D141" s="2212"/>
      <c r="E141" s="2214"/>
      <c r="F141" s="2212"/>
      <c r="G141" s="2212"/>
      <c r="H141" s="2212"/>
      <c r="I141" s="2246" t="s">
        <v>243</v>
      </c>
      <c r="J141" s="2245"/>
      <c r="K141" s="2245"/>
      <c r="L141" s="2244"/>
      <c r="M141" s="2194"/>
      <c r="N141" s="2193"/>
      <c r="O141" s="2193"/>
    </row>
    <row r="142" spans="1:15" ht="15.75">
      <c r="A142" s="2214"/>
      <c r="B142" s="2243"/>
      <c r="C142" s="2242">
        <v>0</v>
      </c>
      <c r="D142" s="2241" t="s">
        <v>242</v>
      </c>
      <c r="E142" s="2214"/>
      <c r="F142" s="2212"/>
      <c r="G142" s="2212"/>
      <c r="H142" s="2212"/>
      <c r="I142" s="2212"/>
      <c r="J142" s="2212"/>
      <c r="K142" s="2215"/>
      <c r="L142" s="2240">
        <f>C142</f>
        <v>0</v>
      </c>
      <c r="M142" s="2194"/>
      <c r="N142" s="2193"/>
      <c r="O142" s="2193"/>
    </row>
    <row r="143" spans="1:15" ht="14.25">
      <c r="A143" s="2239"/>
      <c r="B143" s="2237"/>
      <c r="C143" s="2237"/>
      <c r="D143" s="2237"/>
      <c r="E143" s="2239"/>
      <c r="F143" s="2238"/>
      <c r="G143" s="2238"/>
      <c r="H143" s="2238" t="s">
        <v>241</v>
      </c>
      <c r="I143" s="2237"/>
      <c r="J143" s="2236" t="s">
        <v>1451</v>
      </c>
      <c r="K143" s="2235"/>
      <c r="L143" s="2234">
        <f>C142</f>
        <v>0</v>
      </c>
      <c r="M143" s="2194"/>
      <c r="N143" s="2193"/>
      <c r="O143" s="2193"/>
    </row>
    <row r="144" spans="1:15">
      <c r="A144" s="2193"/>
      <c r="B144" s="2193"/>
      <c r="C144" s="2193"/>
      <c r="D144" s="2193"/>
      <c r="E144" s="2193"/>
      <c r="F144" s="2233"/>
      <c r="G144" s="2233"/>
      <c r="H144" s="2233"/>
      <c r="I144" s="2193"/>
      <c r="J144" s="2232"/>
      <c r="K144" s="2231"/>
      <c r="L144" s="2230"/>
      <c r="M144" s="2194"/>
      <c r="N144" s="2193"/>
      <c r="O144" s="2193"/>
    </row>
    <row r="145" spans="1:15">
      <c r="A145" s="2193"/>
      <c r="B145" s="2193"/>
      <c r="C145" s="2193"/>
      <c r="D145" s="2193"/>
      <c r="E145" s="2193"/>
      <c r="F145" s="2233"/>
      <c r="G145" s="2233"/>
      <c r="H145" s="2233"/>
      <c r="I145" s="2193"/>
      <c r="J145" s="2232"/>
      <c r="K145" s="2231"/>
      <c r="L145" s="2230"/>
      <c r="M145" s="2194"/>
      <c r="N145" s="2193"/>
      <c r="O145" s="2193"/>
    </row>
    <row r="146" spans="1:15" ht="15.75">
      <c r="A146" s="2229" t="s">
        <v>240</v>
      </c>
      <c r="B146" s="2228"/>
      <c r="C146" s="2228"/>
      <c r="D146" s="2228"/>
      <c r="E146" s="2227" t="s">
        <v>239</v>
      </c>
      <c r="F146" s="2226"/>
      <c r="G146" s="2226"/>
      <c r="H146" s="2226"/>
      <c r="I146" s="2224"/>
      <c r="J146" s="2225" t="s">
        <v>1451</v>
      </c>
      <c r="K146" s="2224"/>
      <c r="L146" s="2223">
        <f>L81+L93+L101+L117-L131-L137-L143</f>
        <v>43.561940066689054</v>
      </c>
      <c r="M146" s="2194"/>
      <c r="N146" s="2193"/>
      <c r="O146" s="2193"/>
    </row>
    <row r="147" spans="1:15" ht="15.75">
      <c r="A147" s="2222"/>
      <c r="B147" s="2221"/>
      <c r="C147" s="2221"/>
      <c r="D147" s="2221"/>
      <c r="E147" s="2220"/>
      <c r="F147" s="2220"/>
      <c r="G147" s="2220"/>
      <c r="H147" s="2220"/>
      <c r="I147" s="2220"/>
      <c r="J147" s="2220"/>
      <c r="K147" s="2220"/>
      <c r="L147" s="2219"/>
      <c r="M147" s="2194"/>
      <c r="N147" s="2193"/>
      <c r="O147" s="2193"/>
    </row>
    <row r="148" spans="1:15" ht="15.75">
      <c r="A148" s="2214"/>
      <c r="B148" s="2212"/>
      <c r="C148" s="2212"/>
      <c r="D148" s="2217" t="s">
        <v>238</v>
      </c>
      <c r="E148" s="2218">
        <f>E21*C45*C56*C85*C97</f>
        <v>31180.89775715406</v>
      </c>
      <c r="F148" s="2212" t="s">
        <v>1437</v>
      </c>
      <c r="G148" s="2212"/>
      <c r="H148" s="2212"/>
      <c r="I148" s="2212"/>
      <c r="J148" s="2212"/>
      <c r="K148" s="2212"/>
      <c r="L148" s="2211"/>
      <c r="M148" s="2194"/>
      <c r="N148" s="2193"/>
      <c r="O148" s="2193"/>
    </row>
    <row r="149" spans="1:15" ht="15.75">
      <c r="A149" s="2214"/>
      <c r="B149" s="2212"/>
      <c r="C149" s="2212"/>
      <c r="D149" s="2217" t="s">
        <v>237</v>
      </c>
      <c r="E149" s="2216">
        <f>E148/E21</f>
        <v>0.5106181569991658</v>
      </c>
      <c r="F149" s="2212" t="s">
        <v>82</v>
      </c>
      <c r="G149" s="2212"/>
      <c r="H149" s="2212"/>
      <c r="I149" s="2215"/>
      <c r="J149" s="2212"/>
      <c r="K149" s="2212"/>
      <c r="L149" s="2211"/>
      <c r="M149" s="2194"/>
      <c r="N149" s="2193"/>
      <c r="O149" s="2193"/>
    </row>
    <row r="150" spans="1:15">
      <c r="A150" s="2214"/>
      <c r="B150" s="2212"/>
      <c r="C150" s="2212"/>
      <c r="D150" s="2212"/>
      <c r="E150" s="2212"/>
      <c r="F150" s="2213"/>
      <c r="G150" s="2213"/>
      <c r="H150" s="2212"/>
      <c r="I150" s="2215"/>
      <c r="J150" s="2212"/>
      <c r="K150" s="2212"/>
      <c r="L150" s="2211"/>
      <c r="M150" s="2194"/>
      <c r="N150" s="2193"/>
      <c r="O150" s="2193"/>
    </row>
    <row r="151" spans="1:15">
      <c r="A151" s="2214"/>
      <c r="B151" s="2212"/>
      <c r="C151" s="2212"/>
      <c r="D151" s="2212"/>
      <c r="E151" s="2212"/>
      <c r="F151" s="2213"/>
      <c r="G151" s="2213"/>
      <c r="H151" s="2212"/>
      <c r="I151" s="2212"/>
      <c r="J151" s="2212"/>
      <c r="K151" s="2212"/>
      <c r="L151" s="2211"/>
      <c r="M151" s="2194"/>
      <c r="N151" s="2193"/>
      <c r="O151" s="2193"/>
    </row>
    <row r="152" spans="1:15" ht="14.25">
      <c r="A152" s="2203"/>
      <c r="B152" s="2202"/>
      <c r="C152" s="2202"/>
      <c r="D152" s="2202"/>
      <c r="E152" s="2205" t="s">
        <v>235</v>
      </c>
      <c r="F152" s="2210"/>
      <c r="G152" s="2210"/>
      <c r="H152" s="2201"/>
      <c r="I152" s="2201"/>
      <c r="J152" s="2205" t="s">
        <v>1451</v>
      </c>
      <c r="K152" s="2201"/>
      <c r="L152" s="2209">
        <f>L41+L51+L72+L93+L101+L117-L131-L137-L143</f>
        <v>78.481004191423708</v>
      </c>
      <c r="M152" s="2194"/>
      <c r="N152" s="2193"/>
      <c r="O152" s="2193"/>
    </row>
    <row r="153" spans="1:15" ht="14.25">
      <c r="A153" s="2208"/>
      <c r="B153" s="2207"/>
      <c r="C153" s="2206"/>
      <c r="D153" s="2202"/>
      <c r="E153" s="2205" t="s">
        <v>234</v>
      </c>
      <c r="F153" s="2201"/>
      <c r="G153" s="2201"/>
      <c r="H153" s="2201"/>
      <c r="I153" s="2201"/>
      <c r="J153" s="2205" t="s">
        <v>1451</v>
      </c>
      <c r="K153" s="2201"/>
      <c r="L153" s="2204">
        <f>L81+L93+L101+L117-L131-L137-L143</f>
        <v>43.561940066689054</v>
      </c>
      <c r="M153" s="2194"/>
      <c r="N153" s="2193"/>
      <c r="O153" s="2193"/>
    </row>
    <row r="154" spans="1:15">
      <c r="A154" s="2203"/>
      <c r="B154" s="2202"/>
      <c r="C154" s="2202"/>
      <c r="D154" s="2202"/>
      <c r="E154" s="2201"/>
      <c r="F154" s="2201"/>
      <c r="G154" s="2201"/>
      <c r="H154" s="2201"/>
      <c r="I154" s="2201"/>
      <c r="J154" s="2201"/>
      <c r="K154" s="2201"/>
      <c r="L154" s="2200"/>
      <c r="M154" s="2194"/>
      <c r="N154" s="2193"/>
      <c r="O154" s="2193"/>
    </row>
    <row r="155" spans="1:15">
      <c r="A155" s="2199"/>
      <c r="B155" s="2198"/>
      <c r="C155" s="2198"/>
      <c r="D155" s="2198"/>
      <c r="E155" s="2197" t="s">
        <v>233</v>
      </c>
      <c r="F155" s="2196"/>
      <c r="G155" s="2196"/>
      <c r="H155" s="2196"/>
      <c r="I155" s="2196"/>
      <c r="J155" s="2196"/>
      <c r="K155" s="2196"/>
      <c r="L155" s="2195">
        <f>(83.8-L153)/83.8</f>
        <v>0.48016777963378215</v>
      </c>
      <c r="M155" s="2194"/>
      <c r="N155" s="2193"/>
      <c r="O155" s="2193"/>
    </row>
    <row r="156" spans="1:15">
      <c r="M156" s="2183"/>
    </row>
    <row r="157" spans="1:15">
      <c r="E157" s="2185"/>
      <c r="F157" s="2185"/>
      <c r="G157" s="2185"/>
      <c r="H157" s="2192"/>
      <c r="I157" s="2185"/>
      <c r="J157" s="2185"/>
      <c r="K157" s="2185"/>
      <c r="L157" s="2191"/>
      <c r="M157" s="2183"/>
    </row>
    <row r="158" spans="1:15">
      <c r="F158" s="2185"/>
      <c r="G158" s="2185"/>
      <c r="H158" s="2185"/>
      <c r="I158" s="2188"/>
      <c r="J158" s="2185"/>
      <c r="K158" s="2185"/>
      <c r="L158" s="2190"/>
      <c r="M158" s="2186"/>
      <c r="N158" s="2183"/>
    </row>
    <row r="159" spans="1:15">
      <c r="F159" s="2185"/>
      <c r="G159" s="2185"/>
      <c r="H159" s="2185"/>
      <c r="I159" s="2188"/>
      <c r="J159" s="2185"/>
      <c r="K159" s="2185"/>
      <c r="L159" s="2190"/>
      <c r="M159" s="2186"/>
      <c r="N159" s="2183"/>
    </row>
    <row r="160" spans="1:15" ht="15.75">
      <c r="F160" s="2189"/>
      <c r="G160" s="2189"/>
      <c r="H160" s="2185"/>
      <c r="I160" s="2185"/>
      <c r="J160" s="2185"/>
      <c r="K160" s="2185"/>
      <c r="L160" s="2185"/>
      <c r="M160" s="2185"/>
      <c r="N160" s="2183"/>
    </row>
    <row r="161" spans="6:14" s="2183" customFormat="1">
      <c r="F161" s="2185"/>
      <c r="G161" s="2185"/>
      <c r="H161" s="2188"/>
      <c r="I161" s="2185"/>
      <c r="J161" s="2185"/>
      <c r="K161" s="2185"/>
      <c r="L161" s="2185"/>
      <c r="M161" s="2185"/>
      <c r="N161" s="2185"/>
    </row>
    <row r="162" spans="6:14" s="2183" customFormat="1">
      <c r="F162" s="2188"/>
      <c r="G162" s="2188"/>
      <c r="H162" s="2185"/>
      <c r="I162" s="2187"/>
      <c r="J162" s="2185"/>
      <c r="K162" s="2185"/>
      <c r="L162" s="2185"/>
      <c r="M162" s="2185"/>
      <c r="N162" s="2185"/>
    </row>
    <row r="163" spans="6:14" s="2183" customFormat="1">
      <c r="F163" s="2188"/>
      <c r="G163" s="2188"/>
      <c r="H163" s="2185"/>
      <c r="I163" s="2187"/>
      <c r="J163" s="2185"/>
      <c r="K163" s="2185"/>
      <c r="L163" s="2185"/>
      <c r="M163" s="2185"/>
      <c r="N163" s="2185"/>
    </row>
    <row r="164" spans="6:14" s="2183" customFormat="1">
      <c r="F164" s="2185"/>
      <c r="G164" s="2185"/>
      <c r="H164" s="2186"/>
      <c r="I164" s="2185"/>
      <c r="J164" s="2185"/>
      <c r="K164" s="2185"/>
      <c r="L164" s="2185"/>
      <c r="M164" s="2185"/>
      <c r="N164" s="2185"/>
    </row>
    <row r="165" spans="6:14" s="2183" customFormat="1">
      <c r="F165" s="2185"/>
      <c r="G165" s="2185"/>
      <c r="H165" s="2185"/>
      <c r="I165" s="2185"/>
      <c r="J165" s="2185"/>
      <c r="K165" s="2185"/>
      <c r="L165" s="2185"/>
      <c r="M165" s="2185"/>
      <c r="N165" s="2185"/>
    </row>
    <row r="166" spans="6:14" s="2183" customFormat="1">
      <c r="F166" s="2185"/>
      <c r="G166" s="2185"/>
      <c r="H166" s="2185"/>
      <c r="I166" s="2185"/>
      <c r="J166" s="2185"/>
      <c r="K166" s="2185"/>
      <c r="L166" s="2185"/>
      <c r="M166" s="2185"/>
      <c r="N166" s="2185"/>
    </row>
    <row r="167" spans="6:14" s="2183" customFormat="1">
      <c r="F167" s="2185"/>
      <c r="G167" s="2185"/>
      <c r="H167" s="2185"/>
      <c r="I167" s="2185"/>
      <c r="J167" s="2185"/>
      <c r="K167" s="2185"/>
      <c r="L167" s="2185"/>
      <c r="M167" s="2185"/>
      <c r="N167" s="2185"/>
    </row>
    <row r="168" spans="6:14" s="2183" customFormat="1">
      <c r="F168" s="2185"/>
      <c r="G168" s="2185"/>
      <c r="H168" s="2185"/>
      <c r="I168" s="2185"/>
      <c r="J168" s="2185"/>
      <c r="K168" s="2185"/>
      <c r="L168" s="2185"/>
      <c r="M168" s="2185"/>
      <c r="N168" s="2185"/>
    </row>
    <row r="169" spans="6:14" s="2183" customFormat="1">
      <c r="F169" s="2185"/>
      <c r="G169" s="2185"/>
      <c r="H169" s="2185"/>
      <c r="I169" s="2185"/>
      <c r="J169" s="2185"/>
      <c r="K169" s="2185"/>
      <c r="L169" s="2185"/>
      <c r="M169" s="2185"/>
      <c r="N169" s="2185"/>
    </row>
    <row r="170" spans="6:14" s="2183" customFormat="1">
      <c r="F170" s="2185"/>
      <c r="G170" s="2185"/>
      <c r="H170" s="2185"/>
      <c r="I170" s="2185"/>
      <c r="J170" s="2185"/>
      <c r="K170" s="2185"/>
      <c r="L170" s="2185"/>
      <c r="M170" s="2185"/>
      <c r="N170" s="2185"/>
    </row>
    <row r="171" spans="6:14" s="2183" customFormat="1">
      <c r="F171" s="2185"/>
      <c r="G171" s="2185"/>
      <c r="H171" s="2185"/>
      <c r="I171" s="2185"/>
      <c r="J171" s="2185"/>
      <c r="K171" s="2185"/>
      <c r="L171" s="2185"/>
      <c r="M171" s="2185"/>
      <c r="N171" s="2185"/>
    </row>
    <row r="172" spans="6:14" s="2183" customFormat="1">
      <c r="F172" s="2185"/>
      <c r="G172" s="2185"/>
      <c r="H172" s="2185"/>
      <c r="I172" s="2185"/>
      <c r="J172" s="2185"/>
      <c r="K172" s="2185"/>
      <c r="L172" s="2185"/>
      <c r="M172" s="2185"/>
      <c r="N172" s="2185"/>
    </row>
    <row r="173" spans="6:14" s="2183" customFormat="1">
      <c r="F173" s="2185"/>
      <c r="G173" s="2185"/>
      <c r="H173" s="2185"/>
      <c r="I173" s="2185"/>
      <c r="J173" s="2185"/>
      <c r="K173" s="2185"/>
      <c r="L173" s="2185"/>
      <c r="M173" s="2185"/>
      <c r="N173" s="2185"/>
    </row>
    <row r="174" spans="6:14" s="2183" customFormat="1">
      <c r="F174" s="2185"/>
      <c r="G174" s="2185"/>
      <c r="H174" s="2185"/>
      <c r="I174" s="2185"/>
      <c r="J174" s="2185"/>
      <c r="K174" s="2185"/>
      <c r="L174" s="2185"/>
      <c r="M174" s="2185"/>
      <c r="N174" s="2185"/>
    </row>
    <row r="175" spans="6:14" s="2183" customFormat="1">
      <c r="F175" s="2185"/>
      <c r="G175" s="2185"/>
      <c r="H175" s="2185"/>
      <c r="I175" s="2185"/>
      <c r="J175" s="2185"/>
      <c r="K175" s="2185"/>
      <c r="L175" s="2185"/>
      <c r="M175" s="2185"/>
      <c r="N175" s="2185"/>
    </row>
    <row r="176" spans="6:14" s="2183" customFormat="1">
      <c r="F176" s="2185"/>
      <c r="G176" s="2185"/>
      <c r="H176" s="2185"/>
      <c r="I176" s="2185"/>
      <c r="J176" s="2185"/>
      <c r="K176" s="2185"/>
      <c r="L176" s="2185"/>
      <c r="M176" s="2185"/>
      <c r="N176" s="2185"/>
    </row>
  </sheetData>
  <mergeCells count="4">
    <mergeCell ref="F106:L107"/>
    <mergeCell ref="F108:L109"/>
    <mergeCell ref="F122:L123"/>
    <mergeCell ref="F124:L125"/>
  </mergeCells>
  <conditionalFormatting sqref="O9:O17">
    <cfRule type="cellIs" dxfId="9" priority="1" stopIfTrue="1" operator="notBetween">
      <formula>-0.05</formula>
      <formula>0.05</formula>
    </cfRule>
  </conditionalFormatting>
  <dataValidations count="2">
    <dataValidation type="list" allowBlank="1" showInputMessage="1" showErrorMessage="1"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"A,D"</formula1>
    </dataValidation>
    <dataValidation type="list" showDropDown="1" showInputMessage="1" showErrorMessage="1" errorTitle="Wrong input" error="Only values &quot;0&quot; and &quot;-29&quot; are allowed_x000a_" 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0 IY65650 SU65650 ACQ65650 AMM65650 AWI65650 BGE65650 BQA65650 BZW65650 CJS65650 CTO65650 DDK65650 DNG65650 DXC65650 EGY65650 EQU65650 FAQ65650 FKM65650 FUI65650 GEE65650 GOA65650 GXW65650 HHS65650 HRO65650 IBK65650 ILG65650 IVC65650 JEY65650 JOU65650 JYQ65650 KIM65650 KSI65650 LCE65650 LMA65650 LVW65650 MFS65650 MPO65650 MZK65650 NJG65650 NTC65650 OCY65650 OMU65650 OWQ65650 PGM65650 PQI65650 QAE65650 QKA65650 QTW65650 RDS65650 RNO65650 RXK65650 SHG65650 SRC65650 TAY65650 TKU65650 TUQ65650 UEM65650 UOI65650 UYE65650 VIA65650 VRW65650 WBS65650 WLO65650 WVK65650 C131186 IY131186 SU131186 ACQ131186 AMM131186 AWI131186 BGE131186 BQA131186 BZW131186 CJS131186 CTO131186 DDK131186 DNG131186 DXC131186 EGY131186 EQU131186 FAQ131186 FKM131186 FUI131186 GEE131186 GOA131186 GXW131186 HHS131186 HRO131186 IBK131186 ILG131186 IVC131186 JEY131186 JOU131186 JYQ131186 KIM131186 KSI131186 LCE131186 LMA131186 LVW131186 MFS131186 MPO131186 MZK131186 NJG131186 NTC131186 OCY131186 OMU131186 OWQ131186 PGM131186 PQI131186 QAE131186 QKA131186 QTW131186 RDS131186 RNO131186 RXK131186 SHG131186 SRC131186 TAY131186 TKU131186 TUQ131186 UEM131186 UOI131186 UYE131186 VIA131186 VRW131186 WBS131186 WLO131186 WVK131186 C196722 IY196722 SU196722 ACQ196722 AMM196722 AWI196722 BGE196722 BQA196722 BZW196722 CJS196722 CTO196722 DDK196722 DNG196722 DXC196722 EGY196722 EQU196722 FAQ196722 FKM196722 FUI196722 GEE196722 GOA196722 GXW196722 HHS196722 HRO196722 IBK196722 ILG196722 IVC196722 JEY196722 JOU196722 JYQ196722 KIM196722 KSI196722 LCE196722 LMA196722 LVW196722 MFS196722 MPO196722 MZK196722 NJG196722 NTC196722 OCY196722 OMU196722 OWQ196722 PGM196722 PQI196722 QAE196722 QKA196722 QTW196722 RDS196722 RNO196722 RXK196722 SHG196722 SRC196722 TAY196722 TKU196722 TUQ196722 UEM196722 UOI196722 UYE196722 VIA196722 VRW196722 WBS196722 WLO196722 WVK196722 C262258 IY262258 SU262258 ACQ262258 AMM262258 AWI262258 BGE262258 BQA262258 BZW262258 CJS262258 CTO262258 DDK262258 DNG262258 DXC262258 EGY262258 EQU262258 FAQ262258 FKM262258 FUI262258 GEE262258 GOA262258 GXW262258 HHS262258 HRO262258 IBK262258 ILG262258 IVC262258 JEY262258 JOU262258 JYQ262258 KIM262258 KSI262258 LCE262258 LMA262258 LVW262258 MFS262258 MPO262258 MZK262258 NJG262258 NTC262258 OCY262258 OMU262258 OWQ262258 PGM262258 PQI262258 QAE262258 QKA262258 QTW262258 RDS262258 RNO262258 RXK262258 SHG262258 SRC262258 TAY262258 TKU262258 TUQ262258 UEM262258 UOI262258 UYE262258 VIA262258 VRW262258 WBS262258 WLO262258 WVK262258 C327794 IY327794 SU327794 ACQ327794 AMM327794 AWI327794 BGE327794 BQA327794 BZW327794 CJS327794 CTO327794 DDK327794 DNG327794 DXC327794 EGY327794 EQU327794 FAQ327794 FKM327794 FUI327794 GEE327794 GOA327794 GXW327794 HHS327794 HRO327794 IBK327794 ILG327794 IVC327794 JEY327794 JOU327794 JYQ327794 KIM327794 KSI327794 LCE327794 LMA327794 LVW327794 MFS327794 MPO327794 MZK327794 NJG327794 NTC327794 OCY327794 OMU327794 OWQ327794 PGM327794 PQI327794 QAE327794 QKA327794 QTW327794 RDS327794 RNO327794 RXK327794 SHG327794 SRC327794 TAY327794 TKU327794 TUQ327794 UEM327794 UOI327794 UYE327794 VIA327794 VRW327794 WBS327794 WLO327794 WVK327794 C393330 IY393330 SU393330 ACQ393330 AMM393330 AWI393330 BGE393330 BQA393330 BZW393330 CJS393330 CTO393330 DDK393330 DNG393330 DXC393330 EGY393330 EQU393330 FAQ393330 FKM393330 FUI393330 GEE393330 GOA393330 GXW393330 HHS393330 HRO393330 IBK393330 ILG393330 IVC393330 JEY393330 JOU393330 JYQ393330 KIM393330 KSI393330 LCE393330 LMA393330 LVW393330 MFS393330 MPO393330 MZK393330 NJG393330 NTC393330 OCY393330 OMU393330 OWQ393330 PGM393330 PQI393330 QAE393330 QKA393330 QTW393330 RDS393330 RNO393330 RXK393330 SHG393330 SRC393330 TAY393330 TKU393330 TUQ393330 UEM393330 UOI393330 UYE393330 VIA393330 VRW393330 WBS393330 WLO393330 WVK393330 C458866 IY458866 SU458866 ACQ458866 AMM458866 AWI458866 BGE458866 BQA458866 BZW458866 CJS458866 CTO458866 DDK458866 DNG458866 DXC458866 EGY458866 EQU458866 FAQ458866 FKM458866 FUI458866 GEE458866 GOA458866 GXW458866 HHS458866 HRO458866 IBK458866 ILG458866 IVC458866 JEY458866 JOU458866 JYQ458866 KIM458866 KSI458866 LCE458866 LMA458866 LVW458866 MFS458866 MPO458866 MZK458866 NJG458866 NTC458866 OCY458866 OMU458866 OWQ458866 PGM458866 PQI458866 QAE458866 QKA458866 QTW458866 RDS458866 RNO458866 RXK458866 SHG458866 SRC458866 TAY458866 TKU458866 TUQ458866 UEM458866 UOI458866 UYE458866 VIA458866 VRW458866 WBS458866 WLO458866 WVK458866 C524402 IY524402 SU524402 ACQ524402 AMM524402 AWI524402 BGE524402 BQA524402 BZW524402 CJS524402 CTO524402 DDK524402 DNG524402 DXC524402 EGY524402 EQU524402 FAQ524402 FKM524402 FUI524402 GEE524402 GOA524402 GXW524402 HHS524402 HRO524402 IBK524402 ILG524402 IVC524402 JEY524402 JOU524402 JYQ524402 KIM524402 KSI524402 LCE524402 LMA524402 LVW524402 MFS524402 MPO524402 MZK524402 NJG524402 NTC524402 OCY524402 OMU524402 OWQ524402 PGM524402 PQI524402 QAE524402 QKA524402 QTW524402 RDS524402 RNO524402 RXK524402 SHG524402 SRC524402 TAY524402 TKU524402 TUQ524402 UEM524402 UOI524402 UYE524402 VIA524402 VRW524402 WBS524402 WLO524402 WVK524402 C589938 IY589938 SU589938 ACQ589938 AMM589938 AWI589938 BGE589938 BQA589938 BZW589938 CJS589938 CTO589938 DDK589938 DNG589938 DXC589938 EGY589938 EQU589938 FAQ589938 FKM589938 FUI589938 GEE589938 GOA589938 GXW589938 HHS589938 HRO589938 IBK589938 ILG589938 IVC589938 JEY589938 JOU589938 JYQ589938 KIM589938 KSI589938 LCE589938 LMA589938 LVW589938 MFS589938 MPO589938 MZK589938 NJG589938 NTC589938 OCY589938 OMU589938 OWQ589938 PGM589938 PQI589938 QAE589938 QKA589938 QTW589938 RDS589938 RNO589938 RXK589938 SHG589938 SRC589938 TAY589938 TKU589938 TUQ589938 UEM589938 UOI589938 UYE589938 VIA589938 VRW589938 WBS589938 WLO589938 WVK589938 C655474 IY655474 SU655474 ACQ655474 AMM655474 AWI655474 BGE655474 BQA655474 BZW655474 CJS655474 CTO655474 DDK655474 DNG655474 DXC655474 EGY655474 EQU655474 FAQ655474 FKM655474 FUI655474 GEE655474 GOA655474 GXW655474 HHS655474 HRO655474 IBK655474 ILG655474 IVC655474 JEY655474 JOU655474 JYQ655474 KIM655474 KSI655474 LCE655474 LMA655474 LVW655474 MFS655474 MPO655474 MZK655474 NJG655474 NTC655474 OCY655474 OMU655474 OWQ655474 PGM655474 PQI655474 QAE655474 QKA655474 QTW655474 RDS655474 RNO655474 RXK655474 SHG655474 SRC655474 TAY655474 TKU655474 TUQ655474 UEM655474 UOI655474 UYE655474 VIA655474 VRW655474 WBS655474 WLO655474 WVK655474 C721010 IY721010 SU721010 ACQ721010 AMM721010 AWI721010 BGE721010 BQA721010 BZW721010 CJS721010 CTO721010 DDK721010 DNG721010 DXC721010 EGY721010 EQU721010 FAQ721010 FKM721010 FUI721010 GEE721010 GOA721010 GXW721010 HHS721010 HRO721010 IBK721010 ILG721010 IVC721010 JEY721010 JOU721010 JYQ721010 KIM721010 KSI721010 LCE721010 LMA721010 LVW721010 MFS721010 MPO721010 MZK721010 NJG721010 NTC721010 OCY721010 OMU721010 OWQ721010 PGM721010 PQI721010 QAE721010 QKA721010 QTW721010 RDS721010 RNO721010 RXK721010 SHG721010 SRC721010 TAY721010 TKU721010 TUQ721010 UEM721010 UOI721010 UYE721010 VIA721010 VRW721010 WBS721010 WLO721010 WVK721010 C786546 IY786546 SU786546 ACQ786546 AMM786546 AWI786546 BGE786546 BQA786546 BZW786546 CJS786546 CTO786546 DDK786546 DNG786546 DXC786546 EGY786546 EQU786546 FAQ786546 FKM786546 FUI786546 GEE786546 GOA786546 GXW786546 HHS786546 HRO786546 IBK786546 ILG786546 IVC786546 JEY786546 JOU786546 JYQ786546 KIM786546 KSI786546 LCE786546 LMA786546 LVW786546 MFS786546 MPO786546 MZK786546 NJG786546 NTC786546 OCY786546 OMU786546 OWQ786546 PGM786546 PQI786546 QAE786546 QKA786546 QTW786546 RDS786546 RNO786546 RXK786546 SHG786546 SRC786546 TAY786546 TKU786546 TUQ786546 UEM786546 UOI786546 UYE786546 VIA786546 VRW786546 WBS786546 WLO786546 WVK786546 C852082 IY852082 SU852082 ACQ852082 AMM852082 AWI852082 BGE852082 BQA852082 BZW852082 CJS852082 CTO852082 DDK852082 DNG852082 DXC852082 EGY852082 EQU852082 FAQ852082 FKM852082 FUI852082 GEE852082 GOA852082 GXW852082 HHS852082 HRO852082 IBK852082 ILG852082 IVC852082 JEY852082 JOU852082 JYQ852082 KIM852082 KSI852082 LCE852082 LMA852082 LVW852082 MFS852082 MPO852082 MZK852082 NJG852082 NTC852082 OCY852082 OMU852082 OWQ852082 PGM852082 PQI852082 QAE852082 QKA852082 QTW852082 RDS852082 RNO852082 RXK852082 SHG852082 SRC852082 TAY852082 TKU852082 TUQ852082 UEM852082 UOI852082 UYE852082 VIA852082 VRW852082 WBS852082 WLO852082 WVK852082 C917618 IY917618 SU917618 ACQ917618 AMM917618 AWI917618 BGE917618 BQA917618 BZW917618 CJS917618 CTO917618 DDK917618 DNG917618 DXC917618 EGY917618 EQU917618 FAQ917618 FKM917618 FUI917618 GEE917618 GOA917618 GXW917618 HHS917618 HRO917618 IBK917618 ILG917618 IVC917618 JEY917618 JOU917618 JYQ917618 KIM917618 KSI917618 LCE917618 LMA917618 LVW917618 MFS917618 MPO917618 MZK917618 NJG917618 NTC917618 OCY917618 OMU917618 OWQ917618 PGM917618 PQI917618 QAE917618 QKA917618 QTW917618 RDS917618 RNO917618 RXK917618 SHG917618 SRC917618 TAY917618 TKU917618 TUQ917618 UEM917618 UOI917618 UYE917618 VIA917618 VRW917618 WBS917618 WLO917618 WVK917618 C983154 IY983154 SU983154 ACQ983154 AMM983154 AWI983154 BGE983154 BQA983154 BZW983154 CJS983154 CTO983154 DDK983154 DNG983154 DXC983154 EGY983154 EQU983154 FAQ983154 FKM983154 FUI983154 GEE983154 GOA983154 GXW983154 HHS983154 HRO983154 IBK983154 ILG983154 IVC983154 JEY983154 JOU983154 JYQ983154 KIM983154 KSI983154 LCE983154 LMA983154 LVW983154 MFS983154 MPO983154 MZK983154 NJG983154 NTC983154 OCY983154 OMU983154 OWQ983154 PGM983154 PQI983154 QAE983154 QKA983154 QTW983154 RDS983154 RNO983154 RXK983154 SHG983154 SRC983154 TAY983154 TKU983154 TUQ983154 UEM983154 UOI983154 UYE983154 VIA983154 VRW983154 WBS983154 WLO983154 WVK983154">
      <formula1>"0,-29"</formula1>
    </dataValidation>
  </dataValidations>
  <hyperlinks>
    <hyperlink ref="C125" location="Esca!A1" display="Esca!A1"/>
    <hyperlink ref="C109" location="LUC!A1" display="LUC!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sheetPr codeName="Blad7">
    <pageSetUpPr fitToPage="1"/>
  </sheetPr>
  <dimension ref="A1:Q247"/>
  <sheetViews>
    <sheetView showGridLines="0" topLeftCell="A2" zoomScale="85" zoomScaleNormal="85" workbookViewId="0">
      <selection activeCell="F17" sqref="F17"/>
    </sheetView>
  </sheetViews>
  <sheetFormatPr defaultColWidth="8.85546875" defaultRowHeight="12.75"/>
  <cols>
    <col min="1" max="1" width="39.42578125" customWidth="1"/>
    <col min="2" max="2" width="35.42578125" customWidth="1"/>
    <col min="3" max="3" width="23.7109375" customWidth="1"/>
    <col min="4" max="4" width="25.28515625" customWidth="1"/>
    <col min="5" max="5" width="14.5703125" customWidth="1"/>
    <col min="6" max="6" width="20.5703125" customWidth="1"/>
    <col min="7" max="7" width="2.85546875" customWidth="1"/>
    <col min="8" max="8" width="11.85546875" customWidth="1"/>
    <col min="9" max="9" width="13.140625" customWidth="1"/>
    <col min="10" max="10" width="13.85546875" customWidth="1"/>
    <col min="11" max="12" width="13.42578125" customWidth="1"/>
    <col min="13" max="13" width="2.42578125" customWidth="1"/>
    <col min="14" max="14" width="30.28515625" customWidth="1"/>
    <col min="15" max="15" width="13.85546875" customWidth="1"/>
    <col min="16" max="16384" width="8.85546875" style="3"/>
  </cols>
  <sheetData>
    <row r="1" spans="1:15" ht="111" customHeight="1"/>
    <row r="2" spans="1:15" ht="27.75" customHeight="1">
      <c r="A2" s="3316" t="s">
        <v>1725</v>
      </c>
      <c r="B2" s="3317"/>
      <c r="C2" s="3317"/>
      <c r="D2" s="3317"/>
      <c r="E2" s="3317"/>
      <c r="F2" s="3317"/>
      <c r="G2" s="3317"/>
      <c r="H2" s="3317"/>
      <c r="I2" s="3317"/>
      <c r="J2" s="3317"/>
      <c r="K2" s="3317"/>
      <c r="L2" s="3317"/>
      <c r="M2" s="3317"/>
      <c r="N2" s="3317"/>
      <c r="O2" s="3318"/>
    </row>
    <row r="3" spans="1:15" ht="27.75" customHeight="1" thickBot="1">
      <c r="A3" s="3301" t="s">
        <v>772</v>
      </c>
      <c r="B3" s="3302"/>
      <c r="C3" s="3302"/>
      <c r="D3" s="3302"/>
      <c r="E3" s="3302"/>
      <c r="F3" s="3302"/>
      <c r="G3" s="3302"/>
      <c r="H3" s="3302"/>
      <c r="I3" s="3302"/>
      <c r="J3" s="3302"/>
      <c r="K3" s="3302"/>
      <c r="L3" s="3302"/>
      <c r="M3" s="3302"/>
      <c r="N3" s="3302"/>
      <c r="O3" s="3302"/>
    </row>
    <row r="4" spans="1:15" ht="16.5" customHeight="1">
      <c r="A4" s="3166" t="s">
        <v>768</v>
      </c>
      <c r="B4" s="3215" t="s">
        <v>658</v>
      </c>
      <c r="C4" s="3217" t="s">
        <v>769</v>
      </c>
      <c r="D4" s="3217" t="s">
        <v>659</v>
      </c>
      <c r="E4" s="3218" t="s">
        <v>770</v>
      </c>
      <c r="F4" s="3215" t="s">
        <v>771</v>
      </c>
      <c r="G4" s="55"/>
      <c r="H4" s="3188" t="s">
        <v>777</v>
      </c>
      <c r="I4" s="54"/>
      <c r="J4" s="3192" t="s">
        <v>1833</v>
      </c>
      <c r="K4" s="3192"/>
      <c r="L4" s="3191"/>
      <c r="M4" s="11"/>
      <c r="N4" s="3190" t="s">
        <v>778</v>
      </c>
      <c r="O4" s="3191"/>
    </row>
    <row r="5" spans="1:15" ht="31.5" customHeight="1">
      <c r="A5" s="3166"/>
      <c r="B5" s="3216"/>
      <c r="C5" s="3217"/>
      <c r="D5" s="3217"/>
      <c r="E5" s="3218"/>
      <c r="F5" s="3219"/>
      <c r="G5" s="56"/>
      <c r="H5" s="3189"/>
      <c r="I5" s="11"/>
      <c r="J5" s="140" t="str">
        <f>A68</f>
        <v>Видобуток олії</v>
      </c>
      <c r="K5" s="141"/>
      <c r="L5" s="142"/>
      <c r="M5" s="11"/>
      <c r="N5" s="3343" t="s">
        <v>782</v>
      </c>
      <c r="O5" s="3344"/>
    </row>
    <row r="6" spans="1:15" ht="16.5" customHeight="1">
      <c r="A6" s="1301" t="s">
        <v>773</v>
      </c>
      <c r="B6" s="135"/>
      <c r="C6" s="136"/>
      <c r="D6" s="137"/>
      <c r="E6" s="969">
        <f>IF(F6="A",D7+D8,H6)</f>
        <v>28.910138345305299</v>
      </c>
      <c r="F6" s="968" t="s">
        <v>1486</v>
      </c>
      <c r="G6" s="57"/>
      <c r="H6" s="139">
        <v>29</v>
      </c>
      <c r="I6" s="11"/>
      <c r="J6" s="127">
        <f>F93/F95</f>
        <v>0.61250210048731302</v>
      </c>
      <c r="K6" s="1263" t="s">
        <v>533</v>
      </c>
      <c r="L6" s="128"/>
      <c r="M6" s="11"/>
      <c r="N6" s="389">
        <v>83.8</v>
      </c>
      <c r="O6" s="1144" t="s">
        <v>783</v>
      </c>
    </row>
    <row r="7" spans="1:15" ht="12" customHeight="1">
      <c r="A7" s="140" t="str">
        <f>A22</f>
        <v>Вирощування ріпаку</v>
      </c>
      <c r="B7" s="93">
        <f>L44</f>
        <v>48.625584586274798</v>
      </c>
      <c r="C7" s="94">
        <f>J6*J9</f>
        <v>0.58589129582531174</v>
      </c>
      <c r="D7" s="21">
        <f>C7*B7</f>
        <v>28.489306763515845</v>
      </c>
      <c r="E7" s="2790"/>
      <c r="F7" s="58"/>
      <c r="G7" s="58"/>
      <c r="H7" s="85">
        <f>28.51</f>
        <v>28.51</v>
      </c>
      <c r="I7" s="11"/>
      <c r="J7" s="131">
        <f>1-J6</f>
        <v>0.38749789951268698</v>
      </c>
      <c r="K7" s="1475" t="s">
        <v>512</v>
      </c>
      <c r="L7" s="128"/>
      <c r="M7" s="11"/>
      <c r="N7" s="3180" t="s">
        <v>781</v>
      </c>
      <c r="O7" s="3181"/>
    </row>
    <row r="8" spans="1:15" ht="12" customHeight="1">
      <c r="A8" s="140" t="str">
        <f>A47</f>
        <v>Сушка ріпаку</v>
      </c>
      <c r="B8" s="93">
        <f>L55</f>
        <v>0.71827587265424875</v>
      </c>
      <c r="C8" s="94">
        <f>J6*J9</f>
        <v>0.58589129582531174</v>
      </c>
      <c r="D8" s="21">
        <f>C8*B8</f>
        <v>0.4208315817894544</v>
      </c>
      <c r="E8" s="123"/>
      <c r="G8" s="58"/>
      <c r="H8" s="85">
        <f>0.42</f>
        <v>0.42</v>
      </c>
      <c r="I8" s="11"/>
      <c r="J8" s="140" t="str">
        <f>A120</f>
        <v>Видобування олії</v>
      </c>
      <c r="K8" s="141"/>
      <c r="L8" s="142"/>
      <c r="M8" s="11"/>
      <c r="N8" s="392">
        <f>(N6-E19)/N6</f>
        <v>0.3790806881412474</v>
      </c>
      <c r="O8" s="390"/>
    </row>
    <row r="9" spans="1:15" ht="16.5" customHeight="1">
      <c r="A9" s="1301" t="s">
        <v>774</v>
      </c>
      <c r="B9" s="145"/>
      <c r="C9" s="145"/>
      <c r="D9" s="146"/>
      <c r="E9" s="138">
        <f>IF(F9="A",D10+D11+D12, H9)</f>
        <v>21.685787905408169</v>
      </c>
      <c r="F9" s="968" t="s">
        <v>1486</v>
      </c>
      <c r="G9" s="57"/>
      <c r="H9" s="139">
        <v>22</v>
      </c>
      <c r="I9" s="11"/>
      <c r="J9" s="127">
        <f>F149/F151</f>
        <v>0.95655393729943228</v>
      </c>
      <c r="K9" s="1" t="s">
        <v>510</v>
      </c>
      <c r="L9" s="128"/>
      <c r="M9" s="11"/>
      <c r="N9" s="11"/>
      <c r="O9" s="51"/>
    </row>
    <row r="10" spans="1:15" ht="12" customHeight="1">
      <c r="A10" s="140" t="str">
        <f>A68</f>
        <v>Видобуток олії</v>
      </c>
      <c r="B10" s="93">
        <f>L87</f>
        <v>6.529481765397402</v>
      </c>
      <c r="C10" s="94">
        <f>J6*J9</f>
        <v>0.58589129582531174</v>
      </c>
      <c r="D10" s="21">
        <f>C10*B10</f>
        <v>3.8255665325964281</v>
      </c>
      <c r="E10" s="2790"/>
      <c r="G10" s="58"/>
      <c r="H10" s="85">
        <f>1.4*2.73</f>
        <v>3.8219999999999996</v>
      </c>
      <c r="I10" s="11"/>
      <c r="J10" s="129">
        <f>1-J9</f>
        <v>4.3446062700567722E-2</v>
      </c>
      <c r="K10" s="1465" t="s">
        <v>511</v>
      </c>
      <c r="L10" s="130"/>
      <c r="M10" s="11"/>
      <c r="N10" s="11"/>
      <c r="O10" s="378"/>
    </row>
    <row r="11" spans="1:15" ht="12" customHeight="1">
      <c r="A11" s="140" t="str">
        <f>A99</f>
        <v>Переробка рослинної олії</v>
      </c>
      <c r="B11" s="93">
        <f>L117</f>
        <v>1.0648296229465017</v>
      </c>
      <c r="C11" s="94">
        <f>J9</f>
        <v>0.95655393729943228</v>
      </c>
      <c r="D11" s="21">
        <f>C11*B11</f>
        <v>1.0185669683825462</v>
      </c>
      <c r="E11" s="123"/>
      <c r="F11" s="58"/>
      <c r="G11" s="58"/>
      <c r="H11" s="3337">
        <f>1.4*12.77</f>
        <v>17.877999999999997</v>
      </c>
      <c r="I11" s="11"/>
      <c r="J11" s="11"/>
      <c r="K11" s="11"/>
      <c r="L11" s="11"/>
      <c r="M11" s="11"/>
      <c r="N11" s="11"/>
      <c r="O11" s="3339"/>
    </row>
    <row r="12" spans="1:15" ht="12" customHeight="1">
      <c r="A12" s="140" t="str">
        <f>A120</f>
        <v>Видобування олії</v>
      </c>
      <c r="B12" s="93">
        <f>L143</f>
        <v>17.606591481894881</v>
      </c>
      <c r="C12" s="94">
        <f>J9</f>
        <v>0.95655393729943228</v>
      </c>
      <c r="D12" s="21">
        <f>C12*B12</f>
        <v>16.841654404429196</v>
      </c>
      <c r="E12" s="123"/>
      <c r="F12" s="58"/>
      <c r="G12" s="58"/>
      <c r="H12" s="3338"/>
      <c r="I12" s="11"/>
      <c r="J12" s="11"/>
      <c r="K12" s="11"/>
      <c r="L12" s="11"/>
      <c r="M12" s="11"/>
      <c r="N12" s="11"/>
      <c r="O12" s="3339"/>
    </row>
    <row r="13" spans="1:15" ht="16.5" customHeight="1" thickBot="1">
      <c r="A13" s="1301" t="s">
        <v>775</v>
      </c>
      <c r="B13" s="145"/>
      <c r="C13" s="145"/>
      <c r="D13" s="146"/>
      <c r="E13" s="138">
        <f>IF(F13="A",D14+D15+D16, H13)</f>
        <v>1.4371120830499982</v>
      </c>
      <c r="F13" s="968" t="s">
        <v>1486</v>
      </c>
      <c r="G13" s="57"/>
      <c r="H13" s="212">
        <v>1</v>
      </c>
      <c r="I13" s="11"/>
      <c r="J13" s="11"/>
      <c r="K13" s="11"/>
      <c r="L13" s="11"/>
      <c r="M13" s="11"/>
      <c r="N13" s="11"/>
      <c r="O13" s="51"/>
    </row>
    <row r="14" spans="1:15" ht="12" customHeight="1">
      <c r="A14" s="140" t="str">
        <f>A58</f>
        <v>Транспортування ріпаку</v>
      </c>
      <c r="B14" s="93">
        <f>L65</f>
        <v>0.29591818375690176</v>
      </c>
      <c r="C14" s="94">
        <f>J6*J9</f>
        <v>0.58589129582531174</v>
      </c>
      <c r="D14" s="21">
        <f>C14*B14</f>
        <v>0.17337588813960389</v>
      </c>
      <c r="E14" s="2790"/>
      <c r="F14" s="58"/>
      <c r="G14" s="58"/>
      <c r="H14" s="85">
        <f>0.17</f>
        <v>0.17</v>
      </c>
      <c r="I14" s="11"/>
      <c r="J14" s="117" t="s">
        <v>21</v>
      </c>
      <c r="K14" s="118"/>
      <c r="L14" s="118"/>
      <c r="M14" s="118"/>
      <c r="N14" s="381"/>
      <c r="O14" s="378"/>
    </row>
    <row r="15" spans="1:15" ht="12" customHeight="1">
      <c r="A15" s="140" t="str">
        <f>A155</f>
        <v>Транспортування СМЕЖК</v>
      </c>
      <c r="B15" s="93">
        <f>L164</f>
        <v>0.82245085602150536</v>
      </c>
      <c r="C15" s="95">
        <v>1</v>
      </c>
      <c r="D15" s="21">
        <f>C15*B15</f>
        <v>0.82245085602150536</v>
      </c>
      <c r="E15" s="2790"/>
      <c r="F15" s="60"/>
      <c r="G15" s="60"/>
      <c r="H15" s="85">
        <f>0.82</f>
        <v>0.82</v>
      </c>
      <c r="I15" s="11"/>
      <c r="J15" s="119"/>
      <c r="K15" s="91"/>
      <c r="L15" s="91"/>
      <c r="M15" s="91"/>
      <c r="N15" s="382"/>
      <c r="O15" s="378"/>
    </row>
    <row r="16" spans="1:15" ht="12" customHeight="1">
      <c r="A16" s="140" t="str">
        <f>A167</f>
        <v>Автозаправна станція</v>
      </c>
      <c r="B16" s="93">
        <f>L172</f>
        <v>0.44128533888888888</v>
      </c>
      <c r="C16" s="95">
        <v>1</v>
      </c>
      <c r="D16" s="21">
        <f>C16*B16</f>
        <v>0.44128533888888888</v>
      </c>
      <c r="E16" s="2790"/>
      <c r="F16" s="60"/>
      <c r="G16" s="60"/>
      <c r="H16" s="85">
        <f>0.44</f>
        <v>0.44</v>
      </c>
      <c r="I16" s="22"/>
      <c r="J16" s="119"/>
      <c r="K16" s="91"/>
      <c r="L16" s="91"/>
      <c r="M16" s="120"/>
      <c r="N16" s="383"/>
      <c r="O16" s="378"/>
    </row>
    <row r="17" spans="1:15" ht="17.25" customHeight="1">
      <c r="A17" s="1197" t="s">
        <v>776</v>
      </c>
      <c r="B17" s="148">
        <f>L188</f>
        <v>0</v>
      </c>
      <c r="C17" s="149">
        <f>J6*J9</f>
        <v>0.58589129582531174</v>
      </c>
      <c r="D17" s="148">
        <f>C17*B17</f>
        <v>0</v>
      </c>
      <c r="E17" s="138">
        <f>D17</f>
        <v>0</v>
      </c>
      <c r="F17" s="61"/>
      <c r="G17" s="61"/>
      <c r="H17" s="151">
        <v>0</v>
      </c>
      <c r="I17" s="22"/>
      <c r="J17" s="119"/>
      <c r="K17" s="91"/>
      <c r="L17" s="91"/>
      <c r="M17" s="92"/>
      <c r="N17" s="384"/>
      <c r="O17" s="391"/>
    </row>
    <row r="18" spans="1:15" ht="16.5" customHeight="1">
      <c r="A18" s="147" t="s">
        <v>1194</v>
      </c>
      <c r="B18" s="148">
        <f>L202+L208+L214</f>
        <v>0</v>
      </c>
      <c r="C18" s="150">
        <v>1</v>
      </c>
      <c r="D18" s="148">
        <f>C18*B18</f>
        <v>0</v>
      </c>
      <c r="E18" s="138">
        <f>D18</f>
        <v>0</v>
      </c>
      <c r="F18" s="61"/>
      <c r="G18" s="61"/>
      <c r="H18" s="151">
        <v>0</v>
      </c>
      <c r="I18" s="22"/>
      <c r="J18" s="119"/>
      <c r="K18" s="91"/>
      <c r="L18" s="91"/>
      <c r="M18" s="92"/>
      <c r="N18" s="384"/>
      <c r="O18" s="391"/>
    </row>
    <row r="19" spans="1:15" ht="16.5" customHeight="1" thickBot="1">
      <c r="A19" s="1198" t="s">
        <v>770</v>
      </c>
      <c r="B19" s="152">
        <f>SUM(B7:B17)-B18</f>
        <v>76.104417707835125</v>
      </c>
      <c r="C19" s="153"/>
      <c r="D19" s="153"/>
      <c r="E19" s="154">
        <f>SUM(E6:E17)-E18</f>
        <v>52.033038333763464</v>
      </c>
      <c r="F19" s="62"/>
      <c r="G19" s="62"/>
      <c r="H19" s="155">
        <v>52</v>
      </c>
      <c r="I19" s="22"/>
      <c r="J19" s="385" t="s">
        <v>686</v>
      </c>
      <c r="K19" s="386"/>
      <c r="L19" s="386"/>
      <c r="M19" s="387"/>
      <c r="N19" s="388"/>
      <c r="O19" s="208"/>
    </row>
    <row r="20" spans="1:15" ht="16.5" customHeight="1">
      <c r="A20" s="2686" t="s">
        <v>1693</v>
      </c>
      <c r="B20" s="157"/>
      <c r="E20" s="2699" t="s">
        <v>1727</v>
      </c>
      <c r="F20" s="1187"/>
      <c r="G20" s="1187"/>
      <c r="H20" s="1146"/>
      <c r="I20" s="1188"/>
      <c r="J20" s="1299"/>
      <c r="K20" s="91"/>
      <c r="L20" s="1186"/>
      <c r="M20" s="118"/>
      <c r="N20" s="118"/>
      <c r="O20" s="962"/>
    </row>
    <row r="21" spans="1:15" ht="22.5" customHeight="1" thickBot="1">
      <c r="A21" s="107" t="s">
        <v>1568</v>
      </c>
      <c r="B21" s="22"/>
      <c r="E21" s="1391" t="s">
        <v>660</v>
      </c>
      <c r="F21" s="1392"/>
      <c r="G21" s="1392"/>
      <c r="H21" s="1392"/>
      <c r="I21" s="386"/>
      <c r="J21" s="1393"/>
      <c r="K21" s="1393"/>
      <c r="L21" s="1394"/>
      <c r="M21" s="957"/>
      <c r="N21" s="957"/>
      <c r="O21" s="958"/>
    </row>
    <row r="22" spans="1:15" ht="15.75">
      <c r="A22" s="954" t="s">
        <v>513</v>
      </c>
      <c r="B22" s="159"/>
      <c r="C22" s="159"/>
      <c r="D22" s="159"/>
      <c r="E22" s="3308" t="s">
        <v>787</v>
      </c>
      <c r="F22" s="3310"/>
      <c r="G22" s="3310"/>
      <c r="H22" s="3310"/>
      <c r="I22" s="3223" t="s">
        <v>788</v>
      </c>
      <c r="J22" s="3179"/>
      <c r="K22" s="3179"/>
      <c r="L22" s="3324"/>
      <c r="M22" s="116"/>
      <c r="N22" s="3308" t="s">
        <v>789</v>
      </c>
      <c r="O22" s="3309"/>
    </row>
    <row r="23" spans="1:15" ht="15.75">
      <c r="A23" s="3281" t="s">
        <v>807</v>
      </c>
      <c r="B23" s="3282"/>
      <c r="C23" s="28"/>
      <c r="D23" s="28"/>
      <c r="E23" s="1386" t="s">
        <v>807</v>
      </c>
      <c r="F23" s="39"/>
      <c r="G23" s="39"/>
      <c r="H23" s="38"/>
      <c r="I23" s="3294" t="s">
        <v>633</v>
      </c>
      <c r="J23" s="3295"/>
      <c r="K23" s="3295"/>
      <c r="L23" s="3296"/>
      <c r="M23" s="50"/>
      <c r="N23" s="126" t="s">
        <v>520</v>
      </c>
      <c r="O23" s="126" t="s">
        <v>662</v>
      </c>
    </row>
    <row r="24" spans="1:15" ht="15.75">
      <c r="A24" s="1395" t="s">
        <v>517</v>
      </c>
      <c r="B24" s="9" t="s">
        <v>1416</v>
      </c>
      <c r="C24" s="427">
        <v>3113.4428644904001</v>
      </c>
      <c r="D24" s="1206" t="s">
        <v>696</v>
      </c>
      <c r="E24" s="97">
        <f>C24*(1-C25)*VLOOKUP($B24,'Standard values'!$C$9:$S$159,14, FALSE)</f>
        <v>73975.402460291909</v>
      </c>
      <c r="F24" s="1148" t="s">
        <v>514</v>
      </c>
      <c r="G24" s="37"/>
      <c r="H24" s="37"/>
      <c r="I24" s="1322" t="s">
        <v>709</v>
      </c>
      <c r="J24" s="1322" t="s">
        <v>710</v>
      </c>
      <c r="K24" s="1323" t="s">
        <v>711</v>
      </c>
      <c r="L24" s="1323" t="s">
        <v>716</v>
      </c>
      <c r="M24" s="22"/>
      <c r="N24" s="1323" t="s">
        <v>716</v>
      </c>
      <c r="O24" s="1323" t="s">
        <v>673</v>
      </c>
    </row>
    <row r="25" spans="1:15" ht="15.75">
      <c r="A25" s="1396" t="s">
        <v>785</v>
      </c>
      <c r="B25" s="9" t="s">
        <v>1425</v>
      </c>
      <c r="C25" s="428">
        <v>0.1</v>
      </c>
      <c r="D25" s="29"/>
      <c r="E25" s="109">
        <v>1</v>
      </c>
      <c r="F25" s="1148" t="s">
        <v>515</v>
      </c>
      <c r="G25" s="79"/>
      <c r="H25" s="9"/>
      <c r="I25" s="1316"/>
      <c r="J25" s="1317"/>
      <c r="K25" s="31"/>
      <c r="L25" s="31"/>
      <c r="M25" s="22"/>
      <c r="N25" s="75"/>
      <c r="O25" s="75"/>
    </row>
    <row r="26" spans="1:15" ht="15.75">
      <c r="A26" s="2704" t="s">
        <v>1715</v>
      </c>
      <c r="B26" s="9" t="s">
        <v>1197</v>
      </c>
      <c r="C26" s="429" t="s">
        <v>1108</v>
      </c>
      <c r="D26" s="1206" t="s">
        <v>696</v>
      </c>
      <c r="E26" s="111">
        <f>+C24/E219</f>
        <v>7.2759385452978095E-2</v>
      </c>
      <c r="F26" s="1148" t="s">
        <v>516</v>
      </c>
      <c r="G26" s="79"/>
      <c r="H26" s="9"/>
      <c r="I26" s="1317"/>
      <c r="J26" s="1317"/>
      <c r="K26" s="31"/>
      <c r="L26" s="31"/>
      <c r="M26" s="22"/>
      <c r="N26" s="75"/>
      <c r="O26" s="75"/>
    </row>
    <row r="27" spans="1:15">
      <c r="A27" s="1395"/>
      <c r="B27" s="9"/>
      <c r="C27" s="14"/>
      <c r="D27" s="29"/>
      <c r="E27" s="13"/>
      <c r="F27" s="9"/>
      <c r="G27" s="9"/>
      <c r="H27" s="9"/>
      <c r="I27" s="1318"/>
      <c r="J27" s="1318"/>
      <c r="K27" s="32"/>
      <c r="L27" s="32"/>
      <c r="M27" s="22"/>
      <c r="N27" s="75"/>
      <c r="O27" s="75"/>
    </row>
    <row r="28" spans="1:15">
      <c r="A28" s="1395" t="s">
        <v>688</v>
      </c>
      <c r="B28" s="10" t="s">
        <v>1429</v>
      </c>
      <c r="C28" s="14"/>
      <c r="D28" s="29"/>
      <c r="E28" s="13"/>
      <c r="F28" s="9"/>
      <c r="G28" s="9"/>
      <c r="H28" s="9"/>
      <c r="I28" s="1318"/>
      <c r="J28" s="1318"/>
      <c r="K28" s="32"/>
      <c r="L28" s="32"/>
      <c r="M28" s="22"/>
      <c r="N28" s="75"/>
      <c r="O28" s="75"/>
    </row>
    <row r="29" spans="1:15" ht="14.25">
      <c r="A29" s="1396" t="s">
        <v>689</v>
      </c>
      <c r="B29" s="9" t="s">
        <v>1413</v>
      </c>
      <c r="C29" s="430">
        <v>2963</v>
      </c>
      <c r="D29" s="1206" t="s">
        <v>668</v>
      </c>
      <c r="E29" s="36"/>
      <c r="F29" s="9"/>
      <c r="G29" s="9"/>
      <c r="H29" s="9"/>
      <c r="I29" s="1317">
        <f>$C29*VLOOKUP($B29,'Standard values'!$C$9:$S$159,7, FALSE)/$E$219</f>
        <v>6.0684340460197106</v>
      </c>
      <c r="J29" s="1317">
        <f>$C29*VLOOKUP($B29,'Standard values'!$C$9:$S$159,8, FALSE)/$E$219</f>
        <v>0</v>
      </c>
      <c r="K29" s="31">
        <f>$C29*VLOOKUP($B29,'Standard values'!$C$9:$S$159,9, FALSE)/$E$219</f>
        <v>0</v>
      </c>
      <c r="L29" s="31">
        <f>I29*'Standard values'!$D$10+J29*'Standard values'!$D$11+K29*'Standard values'!$D$12</f>
        <v>6.0684340460197106</v>
      </c>
      <c r="M29" s="22"/>
      <c r="N29" s="114">
        <f>+L29/$E$26</f>
        <v>83.404141036093989</v>
      </c>
      <c r="O29" s="115">
        <f>L29*$E$219/1000</f>
        <v>259.67402777777784</v>
      </c>
    </row>
    <row r="30" spans="1:15">
      <c r="A30" s="1395"/>
      <c r="B30" s="9"/>
      <c r="C30" s="14"/>
      <c r="D30" s="29"/>
      <c r="E30" s="36"/>
      <c r="F30" s="9"/>
      <c r="G30" s="9"/>
      <c r="H30" s="9"/>
      <c r="I30" s="1317"/>
      <c r="J30" s="1317"/>
      <c r="K30" s="31"/>
      <c r="L30" s="31"/>
      <c r="M30" s="22"/>
      <c r="N30" s="114"/>
      <c r="O30" s="115"/>
    </row>
    <row r="31" spans="1:15">
      <c r="A31" s="1395" t="s">
        <v>666</v>
      </c>
      <c r="B31" s="10" t="s">
        <v>1449</v>
      </c>
      <c r="C31" s="14"/>
      <c r="D31" s="29"/>
      <c r="E31" s="36"/>
      <c r="F31" s="9"/>
      <c r="G31" s="9"/>
      <c r="H31" s="9"/>
      <c r="I31" s="1317"/>
      <c r="J31" s="1317"/>
      <c r="K31" s="31"/>
      <c r="L31" s="31"/>
      <c r="M31" s="22"/>
      <c r="N31" s="114"/>
      <c r="O31" s="115"/>
    </row>
    <row r="32" spans="1:15" ht="14.25">
      <c r="A32" s="1396" t="s">
        <v>611</v>
      </c>
      <c r="B32" s="9" t="s">
        <v>980</v>
      </c>
      <c r="C32" s="431">
        <v>137.42915126138399</v>
      </c>
      <c r="D32" s="1213" t="s">
        <v>698</v>
      </c>
      <c r="E32" s="36"/>
      <c r="F32" s="9"/>
      <c r="G32" s="9"/>
      <c r="H32" s="9"/>
      <c r="I32" s="1317">
        <f>$C32*VLOOKUP($B32,'Standard values'!$C$9:$S$159,3, FALSE)/$E$219</f>
        <v>9.0793246936288181</v>
      </c>
      <c r="J32" s="1317">
        <f>$C32*VLOOKUP($B32,'Standard values'!$C$9:$S$159,4, FALSE)/$E$219</f>
        <v>2.7873189449040502E-2</v>
      </c>
      <c r="K32" s="31">
        <f>$C32*VLOOKUP($B32,'Standard values'!$C$9:$S$159,5, FALSE)/$E$219</f>
        <v>3.0965999680803644E-2</v>
      </c>
      <c r="L32" s="31">
        <f>I32*'Standard values'!$D$10+J32*'Standard values'!$D$11+K32*'Standard values'!$D$12</f>
        <v>19.004022334734316</v>
      </c>
      <c r="M32" s="22"/>
      <c r="N32" s="114">
        <f>+L32/$E$26</f>
        <v>261.18997867314266</v>
      </c>
      <c r="O32" s="115">
        <f>L32*$E$219/1000</f>
        <v>813.20007537629579</v>
      </c>
    </row>
    <row r="33" spans="1:17" ht="14.25">
      <c r="A33" s="1222" t="s">
        <v>691</v>
      </c>
      <c r="B33" s="9" t="s">
        <v>983</v>
      </c>
      <c r="C33" s="431">
        <v>19</v>
      </c>
      <c r="D33" s="1213" t="s">
        <v>701</v>
      </c>
      <c r="E33" s="36"/>
      <c r="F33" s="9"/>
      <c r="G33" s="9"/>
      <c r="H33" s="9"/>
      <c r="I33" s="1317">
        <f>$C33*VLOOKUP($B33,'Standard values'!$C$9:$S$159,3, FALSE)/$E$219</f>
        <v>5.2889787724328285E-2</v>
      </c>
      <c r="J33" s="1317">
        <f>$C33*VLOOKUP($B33,'Standard values'!$C$9:$S$159,4, FALSE)/$E$219</f>
        <v>9.586373929348262E-5</v>
      </c>
      <c r="K33" s="31">
        <f>$C33*VLOOKUP($B33,'Standard values'!$C$9:$S$159,5, FALSE)/$E$219</f>
        <v>8.1255508525740255E-6</v>
      </c>
      <c r="L33" s="31">
        <f>I33*'Standard values'!$D$10+J33*'Standard values'!$D$11+K33*'Standard values'!$D$12</f>
        <v>5.7707795360732415E-2</v>
      </c>
      <c r="M33" s="22"/>
      <c r="N33" s="114">
        <f>+L33/$E$26</f>
        <v>0.79313197880192365</v>
      </c>
      <c r="O33" s="115">
        <f>L33*$E$219/1000</f>
        <v>2.4693711000000005</v>
      </c>
    </row>
    <row r="34" spans="1:17" ht="15.75">
      <c r="A34" s="1396" t="s">
        <v>692</v>
      </c>
      <c r="B34" s="9" t="s">
        <v>982</v>
      </c>
      <c r="C34" s="431">
        <v>49.456704071183701</v>
      </c>
      <c r="D34" s="1213" t="s">
        <v>699</v>
      </c>
      <c r="E34" s="36"/>
      <c r="F34" s="9"/>
      <c r="G34" s="9"/>
      <c r="H34" s="9"/>
      <c r="I34" s="1317">
        <f>$C34*VLOOKUP($B34,'Standard values'!$C$9:$S$159,3, FALSE)/$E$219</f>
        <v>0.61985472494265181</v>
      </c>
      <c r="J34" s="1317">
        <f>$C34*VLOOKUP($B34,'Standard values'!$C$9:$S$159,4, FALSE)/$E$219</f>
        <v>1.8156069313758339E-3</v>
      </c>
      <c r="K34" s="31">
        <f>$C34*VLOOKUP($B34,'Standard values'!$C$9:$S$159,5, FALSE)/$E$219</f>
        <v>1.421603237374929E-5</v>
      </c>
      <c r="L34" s="31">
        <f>I34*'Standard values'!$D$10+J34*'Standard values'!$D$11+K34*'Standard values'!$D$12</f>
        <v>0.66948127587442496</v>
      </c>
      <c r="M34" s="22"/>
      <c r="N34" s="114">
        <f>+L34/$E$26</f>
        <v>9.2013047073780996</v>
      </c>
      <c r="O34" s="115">
        <f>L34*$E$219/1000</f>
        <v>28.647736485188272</v>
      </c>
    </row>
    <row r="35" spans="1:17" ht="15.75">
      <c r="A35" s="1396" t="s">
        <v>693</v>
      </c>
      <c r="B35" s="9" t="s">
        <v>981</v>
      </c>
      <c r="C35" s="431">
        <v>33.673145974586099</v>
      </c>
      <c r="D35" s="1213" t="s">
        <v>700</v>
      </c>
      <c r="E35" s="36"/>
      <c r="F35" s="9"/>
      <c r="G35" s="9"/>
      <c r="H35" s="9"/>
      <c r="I35" s="1317">
        <f>$C35*VLOOKUP($B35,'Standard values'!$C$9:$S$159,3, FALSE)/$E$219</f>
        <v>0.75929063797425067</v>
      </c>
      <c r="J35" s="1317">
        <f>$C35*VLOOKUP($B35,'Standard values'!$C$9:$S$159,4, FALSE)/$E$219</f>
        <v>1.047393490471395E-3</v>
      </c>
      <c r="K35" s="31">
        <f>$C35*VLOOKUP($B35,'Standard values'!$C$9:$S$159,5, FALSE)/$E$219</f>
        <v>4.052649493559492E-5</v>
      </c>
      <c r="L35" s="31">
        <f>I35*'Standard values'!$D$10+J35*'Standard values'!$D$11+K35*'Standard values'!$D$12</f>
        <v>0.79755237072684282</v>
      </c>
      <c r="M35" s="22"/>
      <c r="N35" s="114">
        <f>+L35/$E$26</f>
        <v>10.961505045177624</v>
      </c>
      <c r="O35" s="115">
        <f>L35*$E$219/1000</f>
        <v>34.128019666983796</v>
      </c>
    </row>
    <row r="36" spans="1:17" ht="14.25">
      <c r="A36" s="1396" t="s">
        <v>694</v>
      </c>
      <c r="B36" s="9" t="s">
        <v>1410</v>
      </c>
      <c r="C36" s="431">
        <v>1.23</v>
      </c>
      <c r="D36" s="1213" t="s">
        <v>696</v>
      </c>
      <c r="E36" s="36"/>
      <c r="F36" s="15"/>
      <c r="G36" s="15"/>
      <c r="H36" s="15"/>
      <c r="I36" s="1317">
        <f>$C36*VLOOKUP($B36,'Standard values'!$C$9:$S$159,3, FALSE)/$E$219</f>
        <v>0.28418155866765027</v>
      </c>
      <c r="J36" s="1317">
        <f>$C36*VLOOKUP($B36,'Standard values'!$C$9:$S$159,4, FALSE)/$E$219</f>
        <v>7.3376114891444673E-4</v>
      </c>
      <c r="K36" s="31">
        <f>$C36*VLOOKUP($B36,'Standard values'!$C$9:$S$159,5, FALSE)/$E$219</f>
        <v>4.8330832557742582E-5</v>
      </c>
      <c r="L36" s="31">
        <f>I36*'Standard values'!$D$10+J36*'Standard values'!$D$11+K36*'Standard values'!$D$12</f>
        <v>0.31692817549271873</v>
      </c>
      <c r="M36" s="22"/>
      <c r="N36" s="114">
        <f>+L36/$E$26</f>
        <v>4.3558390923675212</v>
      </c>
      <c r="O36" s="115">
        <f>L36*$E$219/1000</f>
        <v>13.561656141</v>
      </c>
    </row>
    <row r="37" spans="1:17">
      <c r="A37" s="1398"/>
      <c r="B37" s="9"/>
      <c r="C37" s="16"/>
      <c r="D37" s="29"/>
      <c r="E37" s="36"/>
      <c r="F37" s="15"/>
      <c r="G37" s="15"/>
      <c r="H37" s="15"/>
      <c r="I37" s="1317"/>
      <c r="J37" s="1317"/>
      <c r="K37" s="31"/>
      <c r="L37" s="31"/>
      <c r="M37" s="22"/>
      <c r="N37" s="114"/>
      <c r="O37" s="115"/>
    </row>
    <row r="38" spans="1:17">
      <c r="A38" s="1395" t="s">
        <v>518</v>
      </c>
      <c r="B38" s="10" t="s">
        <v>1415</v>
      </c>
      <c r="C38" s="16"/>
      <c r="D38" s="29"/>
      <c r="E38" s="36"/>
      <c r="F38" s="9"/>
      <c r="G38" s="9"/>
      <c r="H38" s="15"/>
      <c r="I38" s="1317"/>
      <c r="J38" s="1317"/>
      <c r="K38" s="31"/>
      <c r="L38" s="31"/>
      <c r="M38" s="22"/>
      <c r="N38" s="114"/>
      <c r="O38" s="115"/>
    </row>
    <row r="39" spans="1:17" ht="14.25">
      <c r="A39" s="1396" t="s">
        <v>519</v>
      </c>
      <c r="B39" s="37" t="s">
        <v>1469</v>
      </c>
      <c r="C39" s="432">
        <v>6</v>
      </c>
      <c r="D39" s="1206" t="s">
        <v>696</v>
      </c>
      <c r="E39" s="36"/>
      <c r="F39" s="9"/>
      <c r="G39" s="9"/>
      <c r="H39" s="9"/>
      <c r="I39" s="1317">
        <f>$C39*VLOOKUP($B39,'Standard values'!$C$9:$S$159,3, FALSE)/$E$219</f>
        <v>5.7780602820269929E-2</v>
      </c>
      <c r="J39" s="1317">
        <f>$C39*VLOOKUP($B39,'Standard values'!$C$9:$S$159,4, FALSE)/$E$219</f>
        <v>1.2797567322078192E-4</v>
      </c>
      <c r="K39" s="31">
        <f>$C39*VLOOKUP($B39,'Standard values'!$C$9:$S$159,5, FALSE)/$E$219</f>
        <v>1.4060918714342075E-4</v>
      </c>
      <c r="L39" s="31">
        <f>I39*'Standard values'!$D$10+J39*'Standard values'!$D$11+K39*'Standard values'!$D$12</f>
        <v>0.10288153241952885</v>
      </c>
      <c r="M39" s="22"/>
      <c r="N39" s="114">
        <f>+L39/$E$26</f>
        <v>1.4139967205470374</v>
      </c>
      <c r="O39" s="115">
        <f>L39*$E$219/1000</f>
        <v>4.4023979999999998</v>
      </c>
    </row>
    <row r="40" spans="1:17">
      <c r="A40" s="1395"/>
      <c r="B40" s="10"/>
      <c r="C40" s="17"/>
      <c r="D40" s="29"/>
      <c r="E40" s="36"/>
      <c r="F40" s="9"/>
      <c r="G40" s="9"/>
      <c r="H40" s="9"/>
      <c r="I40" s="1317"/>
      <c r="J40" s="1317"/>
      <c r="K40" s="31"/>
      <c r="L40" s="31"/>
      <c r="M40" s="22"/>
      <c r="N40" s="114"/>
      <c r="O40" s="115"/>
    </row>
    <row r="41" spans="1:17" ht="15">
      <c r="A41" s="1395" t="s">
        <v>1694</v>
      </c>
      <c r="B41" s="10" t="s">
        <v>1450</v>
      </c>
      <c r="C41" s="433">
        <v>3.1028571587511329</v>
      </c>
      <c r="D41" s="1206" t="s">
        <v>696</v>
      </c>
      <c r="E41" s="36"/>
      <c r="F41" s="9"/>
      <c r="G41" s="9"/>
      <c r="H41" s="9"/>
      <c r="I41" s="1317">
        <v>0</v>
      </c>
      <c r="J41" s="1317">
        <v>0</v>
      </c>
      <c r="K41" s="31">
        <f>1000*$C41/$E$219</f>
        <v>7.2512003542437975E-2</v>
      </c>
      <c r="L41" s="31">
        <f>I41*'Standard values'!$D$10+J41*'Standard values'!$D$11+K41*'Standard values'!$D$12</f>
        <v>21.608577055646517</v>
      </c>
      <c r="M41" s="22"/>
      <c r="N41" s="114">
        <f>+L41/$E$26</f>
        <v>296.98680000000002</v>
      </c>
      <c r="O41" s="115">
        <f>L41*$E$219/1000</f>
        <v>924.65143330783758</v>
      </c>
      <c r="Q41" s="573"/>
    </row>
    <row r="42" spans="1:17">
      <c r="A42" s="13"/>
      <c r="B42" s="10"/>
      <c r="C42" s="20"/>
      <c r="D42" s="9"/>
      <c r="E42" s="36"/>
      <c r="F42" s="18"/>
      <c r="G42" s="18"/>
      <c r="H42" s="1406" t="s">
        <v>770</v>
      </c>
      <c r="I42" s="1466">
        <f>SUM(I25:I41)</f>
        <v>16.921756051777681</v>
      </c>
      <c r="J42" s="1466">
        <f>SUM(J25:J41)</f>
        <v>3.1693790432316446E-2</v>
      </c>
      <c r="K42" s="1151">
        <f>SUM(K25:K41)</f>
        <v>0.1037298113211047</v>
      </c>
      <c r="L42" s="1151">
        <f>I42*'Standard values'!$D$10+J42*'Standard values'!$D$11+K42*'Standard values'!$D$12</f>
        <v>48.625584586274798</v>
      </c>
      <c r="M42" s="22"/>
      <c r="N42" s="2787">
        <f>+L42/$E$26</f>
        <v>668.30669725350901</v>
      </c>
      <c r="O42" s="1326">
        <f>L42*$E$219/1000</f>
        <v>2080.7347178550835</v>
      </c>
    </row>
    <row r="43" spans="1:17">
      <c r="A43" s="13"/>
      <c r="B43" s="10"/>
      <c r="C43" s="20"/>
      <c r="D43" s="9"/>
      <c r="E43" s="36"/>
      <c r="F43" s="18"/>
      <c r="G43" s="18"/>
      <c r="H43" s="18"/>
      <c r="I43" s="1320"/>
      <c r="J43" s="1467"/>
      <c r="K43" s="1468"/>
      <c r="L43" s="33"/>
      <c r="M43" s="22"/>
      <c r="N43" s="11"/>
      <c r="O43" s="11"/>
    </row>
    <row r="44" spans="1:17" ht="14.25">
      <c r="A44" s="161"/>
      <c r="B44" s="162"/>
      <c r="C44" s="162"/>
      <c r="D44" s="162"/>
      <c r="E44" s="161"/>
      <c r="F44" s="163"/>
      <c r="G44" s="163"/>
      <c r="H44" s="1404" t="s">
        <v>792</v>
      </c>
      <c r="I44" s="3325" t="s">
        <v>663</v>
      </c>
      <c r="J44" s="3325"/>
      <c r="K44" s="3325"/>
      <c r="L44" s="1405">
        <f>L42</f>
        <v>48.625584586274798</v>
      </c>
      <c r="M44" s="22"/>
      <c r="N44" s="11"/>
      <c r="O44" s="11"/>
    </row>
    <row r="45" spans="1:17">
      <c r="A45" s="22"/>
      <c r="B45" s="22"/>
      <c r="C45" s="22"/>
      <c r="D45" s="22"/>
      <c r="E45" s="22"/>
      <c r="F45" s="47"/>
      <c r="G45" s="47"/>
      <c r="H45" s="47"/>
      <c r="I45" s="48"/>
      <c r="J45" s="49"/>
      <c r="K45" s="50"/>
      <c r="L45" s="51"/>
      <c r="M45" s="22"/>
      <c r="N45" s="11"/>
      <c r="O45" s="11"/>
    </row>
    <row r="46" spans="1:17">
      <c r="A46" s="11"/>
      <c r="B46" s="11"/>
      <c r="C46" s="11"/>
      <c r="D46" s="11"/>
      <c r="E46" s="11"/>
      <c r="F46" s="11"/>
      <c r="G46" s="11"/>
      <c r="H46" s="11"/>
      <c r="I46" s="25"/>
      <c r="J46" s="25"/>
      <c r="K46" s="25"/>
      <c r="L46" s="25"/>
      <c r="M46" s="22"/>
      <c r="N46" s="11"/>
      <c r="O46" s="11"/>
    </row>
    <row r="47" spans="1:17" ht="15.75">
      <c r="A47" s="168" t="s">
        <v>521</v>
      </c>
      <c r="B47" s="182"/>
      <c r="C47" s="169"/>
      <c r="D47" s="169"/>
      <c r="E47" s="3200" t="s">
        <v>800</v>
      </c>
      <c r="F47" s="3198"/>
      <c r="G47" s="3198"/>
      <c r="H47" s="3198"/>
      <c r="I47" s="3200" t="s">
        <v>788</v>
      </c>
      <c r="J47" s="3198"/>
      <c r="K47" s="3198"/>
      <c r="L47" s="3199"/>
      <c r="M47" s="22"/>
      <c r="N47" s="134" t="s">
        <v>789</v>
      </c>
      <c r="O47" s="11"/>
    </row>
    <row r="48" spans="1:17" ht="15.75">
      <c r="A48" s="72" t="s">
        <v>517</v>
      </c>
      <c r="B48" s="72" t="s">
        <v>1416</v>
      </c>
      <c r="C48" s="1471">
        <v>1</v>
      </c>
      <c r="D48" s="1208" t="s">
        <v>524</v>
      </c>
      <c r="E48" s="98">
        <f>E24*C48</f>
        <v>73975.402460291909</v>
      </c>
      <c r="F48" s="1148" t="s">
        <v>514</v>
      </c>
      <c r="G48" s="37"/>
      <c r="H48" s="9"/>
      <c r="I48" s="3294" t="s">
        <v>523</v>
      </c>
      <c r="J48" s="3295"/>
      <c r="K48" s="3295"/>
      <c r="L48" s="3296"/>
      <c r="M48" s="22"/>
      <c r="N48" s="126" t="s">
        <v>520</v>
      </c>
      <c r="O48" s="11"/>
    </row>
    <row r="49" spans="1:15" ht="15.75">
      <c r="A49" s="72"/>
      <c r="B49" s="13"/>
      <c r="C49" s="1470"/>
      <c r="D49" s="75"/>
      <c r="E49" s="109">
        <f>E25*C48</f>
        <v>1</v>
      </c>
      <c r="F49" s="1148" t="s">
        <v>522</v>
      </c>
      <c r="G49" s="79"/>
      <c r="H49" s="9"/>
      <c r="I49" s="1322" t="s">
        <v>709</v>
      </c>
      <c r="J49" s="1322" t="s">
        <v>710</v>
      </c>
      <c r="K49" s="1323" t="s">
        <v>711</v>
      </c>
      <c r="L49" s="1323" t="s">
        <v>716</v>
      </c>
      <c r="M49" s="22"/>
      <c r="N49" s="1323" t="s">
        <v>716</v>
      </c>
      <c r="O49" s="11"/>
    </row>
    <row r="50" spans="1:15">
      <c r="A50" s="72" t="s">
        <v>688</v>
      </c>
      <c r="B50" s="72" t="s">
        <v>1429</v>
      </c>
      <c r="C50" s="13"/>
      <c r="D50" s="75"/>
      <c r="E50" s="13"/>
      <c r="F50" s="9"/>
      <c r="G50" s="9"/>
      <c r="H50" s="9"/>
      <c r="I50" s="13"/>
      <c r="J50" s="13"/>
      <c r="K50" s="75"/>
      <c r="L50" s="75"/>
      <c r="M50" s="22"/>
      <c r="N50" s="75"/>
      <c r="O50" s="11"/>
    </row>
    <row r="51" spans="1:15" ht="15.75">
      <c r="A51" s="1327" t="s">
        <v>689</v>
      </c>
      <c r="B51" s="1469" t="s">
        <v>1413</v>
      </c>
      <c r="C51" s="1472">
        <v>1.8100000000000001E-4</v>
      </c>
      <c r="D51" s="1208" t="s">
        <v>525</v>
      </c>
      <c r="E51" s="13"/>
      <c r="F51" s="9"/>
      <c r="G51" s="9"/>
      <c r="H51" s="9"/>
      <c r="I51" s="1235">
        <f>$C51*$E$49*VLOOKUP($B51,'Standard values'!$C$9:$S$159,7, FALSE)/$E$220</f>
        <v>2.7422743167501266E-2</v>
      </c>
      <c r="J51" s="1235">
        <f>$C51*$E$49*VLOOKUP($B51,'Standard values'!$C$9:$S$159,8, FALSE)/$E$220</f>
        <v>0</v>
      </c>
      <c r="K51" s="81">
        <f>$C51*$E$49*VLOOKUP($B51,'Standard values'!$C$9:$S$159,9, FALSE)/$E$220</f>
        <v>0</v>
      </c>
      <c r="L51" s="1387">
        <f>I51*'Standard values'!$D$10+J51*'Standard values'!$D$11+K51*'Standard values'!$D$12</f>
        <v>2.7422743167501266E-2</v>
      </c>
      <c r="M51" s="22"/>
      <c r="N51" s="114">
        <f>+L51/$E$26</f>
        <v>0.37689629999999996</v>
      </c>
      <c r="O51" s="11"/>
    </row>
    <row r="52" spans="1:15" ht="27">
      <c r="A52" s="2708" t="s">
        <v>1698</v>
      </c>
      <c r="B52" s="13" t="s">
        <v>1371</v>
      </c>
      <c r="C52" s="1472">
        <v>3.0790000000000001E-3</v>
      </c>
      <c r="D52" s="1208" t="s">
        <v>525</v>
      </c>
      <c r="E52" s="13"/>
      <c r="F52" s="9"/>
      <c r="G52" s="9"/>
      <c r="H52" s="9"/>
      <c r="I52" s="1235">
        <f>$C52*$E$49*VLOOKUP($B52,'Standard values'!$C$9:$S$159,7, FALSE)/$E$220</f>
        <v>0.64297236591564377</v>
      </c>
      <c r="J52" s="1235">
        <f>$C52*$E$49*VLOOKUP($B52,'Standard values'!$C$9:$S$159,8, FALSE)/$E$220</f>
        <v>1.5680262163645701E-3</v>
      </c>
      <c r="K52" s="81">
        <f>$C52*$E$49*VLOOKUP($B52,'Standard values'!$C$9:$S$159,9, FALSE)/$E$220</f>
        <v>2.9127879738219736E-5</v>
      </c>
      <c r="L52" s="1387">
        <f>I52*'Standard values'!$D$10+J52*'Standard values'!$D$11+K52*'Standard values'!$D$12</f>
        <v>0.69085312948674749</v>
      </c>
      <c r="M52" s="22"/>
      <c r="N52" s="114">
        <f>+L52/$E$26</f>
        <v>9.4950379966199989</v>
      </c>
      <c r="O52" s="11"/>
    </row>
    <row r="53" spans="1:15">
      <c r="A53" s="13"/>
      <c r="B53" s="13"/>
      <c r="C53" s="13"/>
      <c r="D53" s="75"/>
      <c r="E53" s="13"/>
      <c r="F53" s="9"/>
      <c r="G53" s="9"/>
      <c r="H53" s="1406" t="s">
        <v>770</v>
      </c>
      <c r="I53" s="1151">
        <f>SUM(I50:I52)</f>
        <v>0.67039510908314504</v>
      </c>
      <c r="J53" s="1151">
        <f>SUM(J50:J52)</f>
        <v>1.5680262163645701E-3</v>
      </c>
      <c r="K53" s="1151">
        <f>SUM(K50:K52)</f>
        <v>2.9127879738219736E-5</v>
      </c>
      <c r="L53" s="1151">
        <f>I53*'Standard values'!$D$10+J53*'Standard values'!$D$11+K53*'Standard values'!$D$12</f>
        <v>0.71827587265424875</v>
      </c>
      <c r="M53" s="22"/>
      <c r="N53" s="2787">
        <f>+L53/$E$26</f>
        <v>9.8719342966199992</v>
      </c>
      <c r="O53" s="124"/>
    </row>
    <row r="54" spans="1:15">
      <c r="A54" s="76"/>
      <c r="B54" s="13"/>
      <c r="C54" s="1385"/>
      <c r="D54" s="75"/>
      <c r="E54" s="13"/>
      <c r="F54" s="9"/>
      <c r="G54" s="9"/>
      <c r="H54" s="9"/>
      <c r="I54" s="13"/>
      <c r="J54" s="13"/>
      <c r="K54" s="75"/>
      <c r="L54" s="75"/>
      <c r="M54" s="22"/>
      <c r="N54" s="11"/>
      <c r="O54" s="11"/>
    </row>
    <row r="55" spans="1:15" ht="14.25">
      <c r="A55" s="161"/>
      <c r="B55" s="162"/>
      <c r="C55" s="162"/>
      <c r="D55" s="162"/>
      <c r="E55" s="161"/>
      <c r="F55" s="163"/>
      <c r="G55" s="163"/>
      <c r="H55" s="1404" t="s">
        <v>792</v>
      </c>
      <c r="I55" s="3340" t="s">
        <v>528</v>
      </c>
      <c r="J55" s="3341"/>
      <c r="K55" s="3342"/>
      <c r="L55" s="1405">
        <f>L53</f>
        <v>0.71827587265424875</v>
      </c>
      <c r="M55" s="22"/>
      <c r="N55" s="11"/>
      <c r="O55" s="11"/>
    </row>
    <row r="56" spans="1:15">
      <c r="A56" s="11"/>
      <c r="B56" s="11"/>
      <c r="C56" s="11"/>
      <c r="D56" s="11"/>
      <c r="E56" s="11"/>
      <c r="F56" s="43"/>
      <c r="G56" s="43"/>
      <c r="H56" s="43"/>
      <c r="I56" s="11"/>
      <c r="J56" s="44"/>
      <c r="K56" s="45"/>
      <c r="L56" s="46"/>
      <c r="M56" s="22"/>
      <c r="N56" s="11"/>
      <c r="O56" s="11"/>
    </row>
    <row r="57" spans="1:15">
      <c r="A57" s="11"/>
      <c r="B57" s="11"/>
      <c r="C57" s="11"/>
      <c r="D57" s="11"/>
      <c r="E57" s="11"/>
      <c r="F57" s="11"/>
      <c r="G57" s="11"/>
      <c r="H57" s="11"/>
      <c r="I57" s="25"/>
      <c r="J57" s="25"/>
      <c r="K57" s="25"/>
      <c r="L57" s="25"/>
      <c r="M57" s="22"/>
      <c r="N57" s="11"/>
      <c r="O57" s="11"/>
    </row>
    <row r="58" spans="1:15" ht="15.75">
      <c r="A58" s="168" t="s">
        <v>526</v>
      </c>
      <c r="B58" s="169"/>
      <c r="C58" s="169"/>
      <c r="D58" s="169"/>
      <c r="E58" s="3200" t="s">
        <v>800</v>
      </c>
      <c r="F58" s="3198"/>
      <c r="G58" s="3198"/>
      <c r="H58" s="3198"/>
      <c r="I58" s="3200" t="s">
        <v>788</v>
      </c>
      <c r="J58" s="3198"/>
      <c r="K58" s="3198"/>
      <c r="L58" s="3199"/>
      <c r="M58" s="22"/>
      <c r="N58" s="134" t="s">
        <v>789</v>
      </c>
      <c r="O58" s="11"/>
    </row>
    <row r="59" spans="1:15" ht="15.75">
      <c r="A59" s="1207" t="s">
        <v>517</v>
      </c>
      <c r="B59" s="1207" t="s">
        <v>1416</v>
      </c>
      <c r="C59" s="1473">
        <v>0.99009900990099009</v>
      </c>
      <c r="D59" s="1208" t="s">
        <v>527</v>
      </c>
      <c r="E59" s="99">
        <f>E48*C59</f>
        <v>73242.972732962284</v>
      </c>
      <c r="F59" s="1148" t="s">
        <v>530</v>
      </c>
      <c r="G59" s="125"/>
      <c r="H59" s="9"/>
      <c r="I59" s="3294" t="s">
        <v>523</v>
      </c>
      <c r="J59" s="3295"/>
      <c r="K59" s="3295"/>
      <c r="L59" s="3296"/>
      <c r="M59" s="22"/>
      <c r="N59" s="126" t="s">
        <v>520</v>
      </c>
      <c r="O59" s="11"/>
    </row>
    <row r="60" spans="1:15" ht="15.75">
      <c r="A60" s="75"/>
      <c r="B60" s="75"/>
      <c r="C60" s="9"/>
      <c r="D60" s="75"/>
      <c r="E60" s="109">
        <f>E49*C59</f>
        <v>0.99009900990099009</v>
      </c>
      <c r="F60" s="1148" t="s">
        <v>515</v>
      </c>
      <c r="G60" s="79"/>
      <c r="H60" s="9"/>
      <c r="I60" s="1322" t="s">
        <v>709</v>
      </c>
      <c r="J60" s="1323" t="s">
        <v>710</v>
      </c>
      <c r="K60" s="1323" t="s">
        <v>711</v>
      </c>
      <c r="L60" s="1323" t="s">
        <v>716</v>
      </c>
      <c r="M60" s="22"/>
      <c r="N60" s="1323" t="s">
        <v>716</v>
      </c>
      <c r="O60" s="11"/>
    </row>
    <row r="61" spans="1:15">
      <c r="A61" s="1207" t="s">
        <v>722</v>
      </c>
      <c r="B61" s="1207" t="s">
        <v>1407</v>
      </c>
      <c r="C61" s="9"/>
      <c r="D61" s="75"/>
      <c r="E61" s="109"/>
      <c r="F61" s="79"/>
      <c r="G61" s="79"/>
      <c r="H61" s="9"/>
      <c r="I61" s="553"/>
      <c r="J61" s="74"/>
      <c r="K61" s="74"/>
      <c r="L61" s="74"/>
      <c r="M61" s="22"/>
      <c r="N61" s="75"/>
      <c r="O61" s="11"/>
    </row>
    <row r="62" spans="1:15" ht="15.75">
      <c r="A62" s="1408" t="s">
        <v>702</v>
      </c>
      <c r="B62" s="1432" t="s">
        <v>1360</v>
      </c>
      <c r="C62" s="1474">
        <v>50</v>
      </c>
      <c r="D62" s="75" t="s">
        <v>1414</v>
      </c>
      <c r="E62" s="110">
        <f>(C62*E60)/(VLOOKUP($B59,'Standard values'!$C$9:$S$159,14, FALSE))/(1-$C$25)/1000</f>
        <v>2.0835416875020834E-3</v>
      </c>
      <c r="F62" s="1148" t="s">
        <v>529</v>
      </c>
      <c r="G62" s="9"/>
      <c r="H62" s="9"/>
      <c r="I62" s="1235">
        <f>$E62*VLOOKUP($B62,'Standard values'!$C$9:$S$159,15, FALSE)*VLOOKUP(C63,'Standard values'!$C$9:$S$159,7, FALSE)/$E$220</f>
        <v>0.29546794003503929</v>
      </c>
      <c r="J62" s="81">
        <f>$E62*((VLOOKUP($B62,'Standard values'!$C$9:$S$159,15, FALSE)*VLOOKUP(C63,'Standard values'!$C$9:$S$159,8, FALSE))+VLOOKUP($B62,'Standard values'!$C$9:$S$159,16, FALSE))/$E$220</f>
        <v>1.8009748874499528E-5</v>
      </c>
      <c r="K62" s="81">
        <f>$E62*((VLOOKUP($B62,'Standard values'!$C$9:$S$159,15, FALSE)*VLOOKUP(C63,'Standard values'!$C$9:$S$159,9, FALSE))+VLOOKUP($B62,'Standard values'!$C$9:$S$159,17, FALSE))/$E$220</f>
        <v>0</v>
      </c>
      <c r="L62" s="106">
        <f>I62*'Standard values'!$D$10+J62*'Standard values'!$D$11+K62*'Standard values'!$D$12</f>
        <v>0.29591818375690176</v>
      </c>
      <c r="M62" s="22"/>
      <c r="N62" s="2787">
        <f>+L62/$E$26</f>
        <v>4.0670792079207922</v>
      </c>
      <c r="O62" s="11"/>
    </row>
    <row r="63" spans="1:15">
      <c r="A63" s="3319" t="s">
        <v>703</v>
      </c>
      <c r="B63" s="3334" t="s">
        <v>1374</v>
      </c>
      <c r="C63" s="3335" t="s">
        <v>1413</v>
      </c>
      <c r="D63" s="75"/>
      <c r="E63" s="110"/>
      <c r="F63" s="9"/>
      <c r="G63" s="9"/>
      <c r="H63" s="9"/>
      <c r="I63" s="1235"/>
      <c r="J63" s="81"/>
      <c r="K63" s="81"/>
      <c r="L63" s="106"/>
      <c r="M63" s="22"/>
      <c r="N63" s="11"/>
      <c r="O63" s="11"/>
    </row>
    <row r="64" spans="1:15">
      <c r="A64" s="3319"/>
      <c r="B64" s="3334"/>
      <c r="C64" s="3336"/>
      <c r="D64" s="75"/>
      <c r="E64" s="13"/>
      <c r="F64" s="9"/>
      <c r="G64" s="9"/>
      <c r="H64" s="77"/>
      <c r="I64" s="1235"/>
      <c r="J64" s="81"/>
      <c r="K64" s="81"/>
      <c r="L64" s="106"/>
      <c r="M64" s="22"/>
      <c r="N64" s="11"/>
      <c r="O64" s="11"/>
    </row>
    <row r="65" spans="1:15" ht="14.25">
      <c r="A65" s="161"/>
      <c r="B65" s="162"/>
      <c r="C65" s="162"/>
      <c r="D65" s="162"/>
      <c r="E65" s="161"/>
      <c r="F65" s="163"/>
      <c r="G65" s="163"/>
      <c r="H65" s="1404" t="s">
        <v>792</v>
      </c>
      <c r="I65" s="3345" t="s">
        <v>528</v>
      </c>
      <c r="J65" s="3326"/>
      <c r="K65" s="3326"/>
      <c r="L65" s="166">
        <f>L62</f>
        <v>0.29591818375690176</v>
      </c>
      <c r="M65" s="22"/>
      <c r="N65" s="11"/>
      <c r="O65" s="11"/>
    </row>
    <row r="66" spans="1:15">
      <c r="A66" s="11"/>
      <c r="B66" s="11"/>
      <c r="C66" s="11"/>
      <c r="D66" s="11"/>
      <c r="E66" s="11"/>
      <c r="F66" s="43"/>
      <c r="G66" s="43"/>
      <c r="H66" s="43"/>
      <c r="I66" s="11"/>
      <c r="J66" s="44"/>
      <c r="K66" s="45"/>
      <c r="L66" s="46"/>
      <c r="M66" s="22"/>
      <c r="N66" s="22"/>
      <c r="O66" s="22"/>
    </row>
    <row r="67" spans="1:15">
      <c r="A67" s="11"/>
      <c r="B67" s="11"/>
      <c r="C67" s="11"/>
      <c r="D67" s="11"/>
      <c r="E67" s="11"/>
      <c r="F67" s="11"/>
      <c r="G67" s="11"/>
      <c r="H67" s="11"/>
      <c r="I67" s="11"/>
      <c r="J67" s="11"/>
      <c r="K67" s="11"/>
      <c r="L67" s="42"/>
      <c r="M67" s="22"/>
      <c r="N67" s="22"/>
      <c r="O67" s="22"/>
    </row>
    <row r="68" spans="1:15" ht="15.75">
      <c r="A68" s="168" t="s">
        <v>531</v>
      </c>
      <c r="B68" s="169"/>
      <c r="C68" s="169"/>
      <c r="D68" s="169"/>
      <c r="E68" s="3200" t="s">
        <v>800</v>
      </c>
      <c r="F68" s="3198"/>
      <c r="G68" s="3198"/>
      <c r="H68" s="3198"/>
      <c r="I68" s="3200" t="s">
        <v>788</v>
      </c>
      <c r="J68" s="3198"/>
      <c r="K68" s="3198"/>
      <c r="L68" s="3199"/>
      <c r="M68" s="22"/>
      <c r="N68" s="134" t="s">
        <v>789</v>
      </c>
      <c r="O68" s="22"/>
    </row>
    <row r="69" spans="1:15" ht="15.75">
      <c r="A69" s="3228" t="s">
        <v>807</v>
      </c>
      <c r="B69" s="3229"/>
      <c r="C69" s="9"/>
      <c r="D69" s="9"/>
      <c r="E69" s="99"/>
      <c r="F69" s="125"/>
      <c r="G69" s="125"/>
      <c r="H69" s="9"/>
      <c r="I69" s="3294" t="s">
        <v>523</v>
      </c>
      <c r="J69" s="3295"/>
      <c r="K69" s="3295"/>
      <c r="L69" s="3296"/>
      <c r="M69" s="22"/>
      <c r="N69" s="126" t="s">
        <v>545</v>
      </c>
      <c r="O69" s="22"/>
    </row>
    <row r="70" spans="1:15" ht="15.75">
      <c r="A70" s="1148" t="s">
        <v>532</v>
      </c>
      <c r="B70" s="1327" t="s">
        <v>1443</v>
      </c>
      <c r="C70" s="1500">
        <v>0.61250210048731302</v>
      </c>
      <c r="D70" s="1208" t="s">
        <v>539</v>
      </c>
      <c r="E70" s="99">
        <f>E59*C70</f>
        <v>44861.47464487439</v>
      </c>
      <c r="F70" s="1148" t="s">
        <v>543</v>
      </c>
      <c r="G70" s="37"/>
      <c r="H70" s="9"/>
      <c r="I70" s="1322" t="s">
        <v>709</v>
      </c>
      <c r="J70" s="1323" t="s">
        <v>710</v>
      </c>
      <c r="K70" s="1323" t="s">
        <v>711</v>
      </c>
      <c r="L70" s="1323" t="s">
        <v>716</v>
      </c>
      <c r="M70" s="22"/>
      <c r="N70" s="1323" t="s">
        <v>716</v>
      </c>
      <c r="O70" s="22"/>
    </row>
    <row r="71" spans="1:15" ht="15.75">
      <c r="A71" s="2709" t="s">
        <v>1728</v>
      </c>
      <c r="B71" s="1493" t="s">
        <v>1199</v>
      </c>
      <c r="C71" s="1500">
        <v>0.38749789951268698</v>
      </c>
      <c r="D71" s="1208" t="s">
        <v>540</v>
      </c>
      <c r="E71" s="109">
        <f>E60*C70</f>
        <v>0.6064377232547653</v>
      </c>
      <c r="F71" s="1148" t="s">
        <v>522</v>
      </c>
      <c r="G71" s="79"/>
      <c r="H71" s="9"/>
      <c r="I71" s="13"/>
      <c r="J71" s="75"/>
      <c r="K71" s="75"/>
      <c r="L71" s="75"/>
      <c r="M71" s="22"/>
      <c r="N71" s="75"/>
      <c r="O71" s="22"/>
    </row>
    <row r="72" spans="1:15" ht="15.75">
      <c r="A72" s="79"/>
      <c r="B72" s="78"/>
      <c r="C72" s="1496"/>
      <c r="D72" s="1253"/>
      <c r="E72" s="566">
        <f>E70/$E$219/VLOOKUP($B70,'Standard values'!$C$9:$S$159,14, FALSE)</f>
        <v>2.9121863799283151E-2</v>
      </c>
      <c r="F72" s="1148" t="s">
        <v>544</v>
      </c>
      <c r="G72" s="37"/>
      <c r="H72" s="9"/>
      <c r="I72" s="13"/>
      <c r="J72" s="75"/>
      <c r="K72" s="75"/>
      <c r="L72" s="75"/>
      <c r="M72" s="22"/>
      <c r="N72" s="75"/>
      <c r="O72" s="22"/>
    </row>
    <row r="73" spans="1:15">
      <c r="A73" s="10" t="s">
        <v>688</v>
      </c>
      <c r="B73" s="72" t="s">
        <v>1429</v>
      </c>
      <c r="C73" s="13"/>
      <c r="D73" s="75"/>
      <c r="E73" s="36"/>
      <c r="F73" s="9"/>
      <c r="G73" s="9"/>
      <c r="H73" s="9"/>
      <c r="I73" s="13"/>
      <c r="J73" s="75"/>
      <c r="K73" s="75"/>
      <c r="L73" s="75"/>
      <c r="M73" s="22"/>
      <c r="N73" s="75"/>
      <c r="O73" s="22"/>
    </row>
    <row r="74" spans="1:15" ht="27">
      <c r="A74" s="2710" t="s">
        <v>1697</v>
      </c>
      <c r="B74" s="13" t="s">
        <v>1372</v>
      </c>
      <c r="C74" s="1500">
        <f>1.4*0.00839506172839506</f>
        <v>1.1753086419753084E-2</v>
      </c>
      <c r="D74" s="1208" t="s">
        <v>541</v>
      </c>
      <c r="E74" s="13"/>
      <c r="F74" s="9"/>
      <c r="G74" s="9"/>
      <c r="H74" s="9"/>
      <c r="I74" s="1235">
        <f>$C74*$E$71*VLOOKUP($B74,'Standard values'!$C$9:$S$159,7, FALSE)/$E$220</f>
        <v>1.4707548533120931</v>
      </c>
      <c r="J74" s="81">
        <f>$C74*$E$71*VLOOKUP($B74,'Standard values'!$C$9:$S$159,8, FALSE)/$E$220</f>
        <v>3.5866660029204821E-3</v>
      </c>
      <c r="K74" s="81">
        <f>$C74*$E$71*VLOOKUP($B74,'Standard values'!$C$9:$S$159,9, FALSE)/$E$220</f>
        <v>6.640072569582723E-5</v>
      </c>
      <c r="L74" s="1387">
        <f>I74*'Standard values'!$D$10+J74*'Standard values'!$D$11+K74*'Standard values'!$D$12</f>
        <v>1.5802089196424618</v>
      </c>
      <c r="M74" s="22"/>
      <c r="N74" s="81">
        <f>L74/$E$72</f>
        <v>54.261943209876542</v>
      </c>
      <c r="O74" s="22"/>
    </row>
    <row r="75" spans="1:15" ht="15.75">
      <c r="A75" s="1491" t="s">
        <v>534</v>
      </c>
      <c r="B75" s="13" t="s">
        <v>842</v>
      </c>
      <c r="C75" s="1500">
        <f>1.4*0.0397805212620027</f>
        <v>5.569272976680377E-2</v>
      </c>
      <c r="D75" s="1208" t="s">
        <v>541</v>
      </c>
      <c r="E75" s="13"/>
      <c r="F75" s="9"/>
      <c r="G75" s="9"/>
      <c r="H75" s="9"/>
      <c r="I75" s="1235"/>
      <c r="J75" s="81"/>
      <c r="K75" s="81"/>
      <c r="L75" s="1387"/>
      <c r="M75" s="22"/>
      <c r="N75" s="114"/>
      <c r="O75" s="22"/>
    </row>
    <row r="76" spans="1:15">
      <c r="A76" s="1492" t="s">
        <v>535</v>
      </c>
      <c r="B76" s="1511" t="s">
        <v>936</v>
      </c>
      <c r="C76" s="1497"/>
      <c r="D76" s="1503"/>
      <c r="E76" s="6"/>
      <c r="F76" s="1"/>
      <c r="G76" s="1"/>
      <c r="H76" s="1"/>
      <c r="I76" s="3290" t="s">
        <v>546</v>
      </c>
      <c r="J76" s="3290"/>
      <c r="K76" s="3290"/>
      <c r="L76" s="3291"/>
      <c r="M76" s="22"/>
      <c r="N76" s="114"/>
      <c r="O76" s="22"/>
    </row>
    <row r="77" spans="1:15" ht="15.75">
      <c r="A77" s="1476" t="s">
        <v>536</v>
      </c>
      <c r="B77" s="1512" t="s">
        <v>841</v>
      </c>
      <c r="C77" s="1498"/>
      <c r="D77" s="1503"/>
      <c r="E77" s="6"/>
      <c r="F77" s="1"/>
      <c r="G77" s="1"/>
      <c r="H77" s="1"/>
      <c r="I77" s="1342">
        <f>$C75*$E$71*VLOOKUP($B77,'Standard values'!$C$9:$S$156,7, FALSE)/$E$220</f>
        <v>0</v>
      </c>
      <c r="J77" s="1342">
        <f>$C75*$E$71*VLOOKUP($B77,'Standard values'!$C$9:$S$156,8, FALSE)/$E$220</f>
        <v>1.6218760908791419E-4</v>
      </c>
      <c r="K77" s="563">
        <f>$C75*$E$71*VLOOKUP($B77,'Standard values'!$C$9:$S$156,9, FALSE)/$E$220</f>
        <v>6.4875043635165676E-5</v>
      </c>
      <c r="L77" s="561">
        <f>I77*'Standard values'!$D$10+J77*'Standard values'!$D$11+K77*'Standard values'!$D$12</f>
        <v>2.3387453230477227E-2</v>
      </c>
      <c r="M77" s="22"/>
      <c r="N77" s="81">
        <f>L77/$E$72</f>
        <v>0.80308916323731039</v>
      </c>
      <c r="O77" s="22"/>
    </row>
    <row r="78" spans="1:15" ht="14.25">
      <c r="A78" s="1477" t="s">
        <v>628</v>
      </c>
      <c r="B78" s="1478" t="s">
        <v>843</v>
      </c>
      <c r="C78" s="1501">
        <f>1/0.9</f>
        <v>1.1111111111111112</v>
      </c>
      <c r="D78" s="1479" t="s">
        <v>542</v>
      </c>
      <c r="E78" s="6"/>
      <c r="F78" s="1"/>
      <c r="G78" s="1"/>
      <c r="H78" s="1"/>
      <c r="I78" s="1342"/>
      <c r="J78" s="1415"/>
      <c r="K78" s="1338"/>
      <c r="L78" s="561"/>
      <c r="M78" s="22"/>
      <c r="N78" s="114"/>
      <c r="O78" s="22"/>
    </row>
    <row r="79" spans="1:15" ht="15.75">
      <c r="A79" s="1478" t="s">
        <v>727</v>
      </c>
      <c r="B79" s="1513" t="s">
        <v>1183</v>
      </c>
      <c r="C79" s="1498">
        <f>C78*C75</f>
        <v>6.1880810852004191E-2</v>
      </c>
      <c r="D79" s="1479" t="s">
        <v>541</v>
      </c>
      <c r="E79" s="6"/>
      <c r="F79" s="1"/>
      <c r="G79" s="1"/>
      <c r="H79" s="1"/>
      <c r="I79" s="1342">
        <f>$C79*$E$71*VLOOKUP($B79,'Standard values'!$C$9:$S$159,7, FALSE)/$E$220</f>
        <v>4.0847922474445717</v>
      </c>
      <c r="J79" s="1342">
        <f>$C79*$E$71*VLOOKUP($B79,'Standard values'!$C$9:$S$159,8, FALSE)/$E$220</f>
        <v>1.2854269062489912E-2</v>
      </c>
      <c r="K79" s="563">
        <f>$C79*$E$71*VLOOKUP($B79,'Standard values'!$C$9:$S$159,9, FALSE)/$E$220</f>
        <v>1.4416676363370153E-5</v>
      </c>
      <c r="L79" s="561">
        <f>I79*'Standard values'!$D$10+J79*'Standard values'!$D$11+K79*'Standard values'!$D$12</f>
        <v>4.4104451435631038</v>
      </c>
      <c r="M79" s="22"/>
      <c r="N79" s="81">
        <f>L79/$E$72</f>
        <v>151.44790092973614</v>
      </c>
      <c r="O79" s="22"/>
    </row>
    <row r="80" spans="1:15" ht="14.25">
      <c r="A80" s="1477" t="s">
        <v>582</v>
      </c>
      <c r="B80" s="1513" t="s">
        <v>844</v>
      </c>
      <c r="C80" s="1501">
        <v>0.02</v>
      </c>
      <c r="D80" s="1479" t="s">
        <v>542</v>
      </c>
      <c r="E80" s="6"/>
      <c r="F80" s="1"/>
      <c r="G80" s="1"/>
      <c r="H80" s="1"/>
      <c r="I80" s="1342"/>
      <c r="J80" s="1415"/>
      <c r="K80" s="1338"/>
      <c r="L80" s="561"/>
      <c r="M80" s="22"/>
      <c r="N80" s="81"/>
      <c r="O80" s="22"/>
    </row>
    <row r="81" spans="1:15" ht="27">
      <c r="A81" s="2710" t="s">
        <v>1697</v>
      </c>
      <c r="B81" s="1513" t="s">
        <v>1372</v>
      </c>
      <c r="C81" s="1498">
        <f>C80*C75</f>
        <v>1.1138545953360754E-3</v>
      </c>
      <c r="D81" s="1479" t="s">
        <v>541</v>
      </c>
      <c r="E81" s="6"/>
      <c r="F81" s="1"/>
      <c r="G81" s="1"/>
      <c r="H81" s="1"/>
      <c r="I81" s="1342">
        <f>$C81*$E$71*VLOOKUP($B81,'Standard values'!$C$9:$S$159,7, FALSE)/$E$220</f>
        <v>0.13938526387598252</v>
      </c>
      <c r="J81" s="1342">
        <f>$C81*$E$71*VLOOKUP($B81,'Standard values'!$C$9:$S$159,8, FALSE)/$E$220</f>
        <v>3.3991279112645059E-4</v>
      </c>
      <c r="K81" s="563">
        <f>$C81*$E$71*VLOOKUP($B81,'Standard values'!$C$9:$S$159,9, FALSE)/$E$220</f>
        <v>6.2928792326110703E-6</v>
      </c>
      <c r="L81" s="561">
        <f>I81*'Standard values'!$D$10+J81*'Standard values'!$D$11+K81*'Standard values'!$D$12</f>
        <v>0.14975836166546189</v>
      </c>
      <c r="M81" s="22"/>
      <c r="N81" s="81">
        <f>L81/$E$72</f>
        <v>5.1424717421124759</v>
      </c>
      <c r="O81" s="22"/>
    </row>
    <row r="82" spans="1:15">
      <c r="A82" s="1484"/>
      <c r="B82" s="1494"/>
      <c r="C82" s="1499"/>
      <c r="D82" s="1504"/>
      <c r="E82" s="13"/>
      <c r="F82" s="9"/>
      <c r="G82" s="9"/>
      <c r="H82" s="9"/>
      <c r="I82" s="13"/>
      <c r="J82" s="13"/>
      <c r="K82" s="75"/>
      <c r="L82" s="75"/>
      <c r="M82" s="22"/>
      <c r="N82" s="81"/>
      <c r="O82" s="22"/>
    </row>
    <row r="83" spans="1:15">
      <c r="A83" s="1487" t="s">
        <v>537</v>
      </c>
      <c r="B83" s="1495" t="s">
        <v>1167</v>
      </c>
      <c r="C83" s="1499"/>
      <c r="D83" s="1505"/>
      <c r="E83" s="13"/>
      <c r="F83" s="9"/>
      <c r="G83" s="9"/>
      <c r="H83" s="9"/>
      <c r="I83" s="1235"/>
      <c r="J83" s="1235"/>
      <c r="K83" s="81"/>
      <c r="L83" s="1387"/>
      <c r="M83" s="22"/>
      <c r="N83" s="81"/>
      <c r="O83" s="22"/>
    </row>
    <row r="84" spans="1:15" ht="15.75">
      <c r="A84" s="1487" t="s">
        <v>538</v>
      </c>
      <c r="B84" s="1397" t="s">
        <v>1355</v>
      </c>
      <c r="C84" s="1502">
        <v>4.3313580246913579E-3</v>
      </c>
      <c r="D84" s="1506" t="s">
        <v>541</v>
      </c>
      <c r="E84" s="13"/>
      <c r="F84" s="9"/>
      <c r="G84" s="9"/>
      <c r="H84" s="9"/>
      <c r="I84" s="1235">
        <f>$C84*$E$71*VLOOKUP($B84,'Standard values'!$C$9:$S$159,7, FALSE)/$E$220</f>
        <v>0.36365360082304521</v>
      </c>
      <c r="J84" s="1235">
        <f>$C84*$E$71*VLOOKUP($B84,'Standard values'!$C$9:$S$159,8, FALSE)/$E$220</f>
        <v>6.6095902473560777E-5</v>
      </c>
      <c r="K84" s="81">
        <f>$C84*$E$71*VLOOKUP($B84,'Standard values'!$C$9:$S$159,9, FALSE)/$E$220</f>
        <v>1.2613721846099385E-6</v>
      </c>
      <c r="L84" s="1387">
        <f>I84*'Standard values'!$D$10+J84*'Standard values'!$D$11+K84*'Standard values'!$D$12</f>
        <v>0.36568188729589796</v>
      </c>
      <c r="M84" s="22"/>
      <c r="N84" s="81">
        <f>L84/$E$72</f>
        <v>12.55695342222222</v>
      </c>
      <c r="O84" s="22"/>
    </row>
    <row r="85" spans="1:15">
      <c r="A85" s="1397"/>
      <c r="B85" s="1489"/>
      <c r="C85" s="1486"/>
      <c r="D85" s="1486"/>
      <c r="E85" s="100"/>
      <c r="F85" s="9"/>
      <c r="G85" s="9"/>
      <c r="H85" s="1406" t="s">
        <v>770</v>
      </c>
      <c r="I85" s="1325">
        <f>SUM(I71:I84)</f>
        <v>6.0585859654556922</v>
      </c>
      <c r="J85" s="1325">
        <f>SUM(J71:J84)</f>
        <v>1.7009131368098319E-2</v>
      </c>
      <c r="K85" s="1325">
        <f>SUM(K71:K84)</f>
        <v>1.5324669711158406E-4</v>
      </c>
      <c r="L85" s="1151">
        <f>I85*'Standard values'!$D$10+J85*'Standard values'!$D$11+K85*'Standard values'!$D$12</f>
        <v>6.529481765397402</v>
      </c>
      <c r="M85" s="22"/>
      <c r="N85" s="2787">
        <f>L85/$E$72</f>
        <v>224.21235846718466</v>
      </c>
      <c r="O85" s="22"/>
    </row>
    <row r="86" spans="1:15">
      <c r="A86" s="1397"/>
      <c r="B86" s="1485"/>
      <c r="C86" s="1486"/>
      <c r="D86" s="1486"/>
      <c r="E86" s="13"/>
      <c r="F86" s="9"/>
      <c r="G86" s="9"/>
      <c r="H86" s="9"/>
      <c r="I86" s="13"/>
      <c r="J86" s="13"/>
      <c r="K86" s="75"/>
      <c r="L86" s="75"/>
      <c r="M86" s="22"/>
      <c r="N86" s="436"/>
      <c r="O86" s="22"/>
    </row>
    <row r="87" spans="1:15" ht="14.25">
      <c r="A87" s="161"/>
      <c r="B87" s="162"/>
      <c r="C87" s="162"/>
      <c r="D87" s="162"/>
      <c r="E87" s="161"/>
      <c r="F87" s="163"/>
      <c r="G87" s="163"/>
      <c r="H87" s="1404" t="s">
        <v>792</v>
      </c>
      <c r="I87" s="3325" t="s">
        <v>528</v>
      </c>
      <c r="J87" s="3325"/>
      <c r="K87" s="3325"/>
      <c r="L87" s="1405">
        <f>L85</f>
        <v>6.529481765397402</v>
      </c>
      <c r="M87" s="22"/>
      <c r="N87" s="1325">
        <f>L87/$E$72</f>
        <v>224.21235846718466</v>
      </c>
      <c r="O87" s="22"/>
    </row>
    <row r="88" spans="1:15">
      <c r="A88" s="11"/>
      <c r="B88" s="11"/>
      <c r="C88" s="11"/>
      <c r="D88" s="11"/>
      <c r="E88" s="11"/>
      <c r="F88" s="43"/>
      <c r="G88" s="43"/>
      <c r="H88" s="43"/>
      <c r="I88" s="11"/>
      <c r="J88" s="44"/>
      <c r="K88" s="45"/>
      <c r="L88" s="53"/>
      <c r="M88" s="22"/>
      <c r="N88" s="11"/>
      <c r="O88" s="11"/>
    </row>
    <row r="89" spans="1:15">
      <c r="A89" s="11"/>
      <c r="B89" s="11"/>
      <c r="C89" s="11"/>
      <c r="D89" s="11"/>
      <c r="E89" s="11"/>
      <c r="F89" s="43"/>
      <c r="G89" s="43"/>
      <c r="H89" s="43"/>
      <c r="I89" s="11"/>
      <c r="J89" s="44"/>
      <c r="K89" s="45"/>
      <c r="L89" s="53"/>
      <c r="M89" s="22"/>
      <c r="N89" s="11"/>
      <c r="O89" s="11"/>
    </row>
    <row r="90" spans="1:15" ht="15.75">
      <c r="A90" s="168" t="s">
        <v>735</v>
      </c>
      <c r="B90" s="169"/>
      <c r="C90" s="169"/>
      <c r="D90" s="169"/>
      <c r="E90" s="3292" t="s">
        <v>805</v>
      </c>
      <c r="F90" s="3207"/>
      <c r="G90" s="3207"/>
      <c r="H90" s="3208"/>
      <c r="I90" s="1507"/>
      <c r="J90" s="3202" t="s">
        <v>528</v>
      </c>
      <c r="K90" s="3202"/>
      <c r="L90" s="3278">
        <f>L44+L55+L65+L87</f>
        <v>56.169260408083346</v>
      </c>
      <c r="M90" s="22"/>
      <c r="N90" s="3277" t="s">
        <v>789</v>
      </c>
      <c r="O90" s="11"/>
    </row>
    <row r="91" spans="1:15" ht="15.75">
      <c r="A91" s="175" t="s">
        <v>804</v>
      </c>
      <c r="B91" s="176"/>
      <c r="C91" s="176"/>
      <c r="D91" s="176"/>
      <c r="E91" s="3293"/>
      <c r="F91" s="3209"/>
      <c r="G91" s="3209"/>
      <c r="H91" s="3210"/>
      <c r="I91" s="1508"/>
      <c r="J91" s="3205"/>
      <c r="K91" s="3205"/>
      <c r="L91" s="3279"/>
      <c r="M91" s="22"/>
      <c r="N91" s="3333"/>
      <c r="O91" s="11"/>
    </row>
    <row r="92" spans="1:15" ht="15.75">
      <c r="A92" s="6"/>
      <c r="B92" s="6"/>
      <c r="C92" s="6"/>
      <c r="D92" s="63"/>
      <c r="E92" s="3157" t="s">
        <v>550</v>
      </c>
      <c r="F92" s="3158"/>
      <c r="G92" s="3158"/>
      <c r="H92" s="3159"/>
      <c r="I92" s="1453">
        <f>L90</f>
        <v>56.169260408083346</v>
      </c>
      <c r="J92" s="1263" t="s">
        <v>547</v>
      </c>
      <c r="K92" s="1"/>
      <c r="L92" s="7"/>
      <c r="M92" s="22"/>
      <c r="N92" s="126" t="s">
        <v>545</v>
      </c>
      <c r="O92" s="11"/>
    </row>
    <row r="93" spans="1:15" ht="15.75">
      <c r="A93" s="1437" t="s">
        <v>736</v>
      </c>
      <c r="B93" s="1509" t="s">
        <v>548</v>
      </c>
      <c r="C93" s="6" t="s">
        <v>1166</v>
      </c>
      <c r="D93" s="1"/>
      <c r="E93" s="1510" t="s">
        <v>553</v>
      </c>
      <c r="F93" s="435">
        <v>1</v>
      </c>
      <c r="G93" s="435"/>
      <c r="H93" s="1268" t="s">
        <v>740</v>
      </c>
      <c r="I93" s="1342">
        <f>$I$92*F93/F$95</f>
        <v>34.403789982769915</v>
      </c>
      <c r="J93" s="1263" t="s">
        <v>547</v>
      </c>
      <c r="K93" s="1"/>
      <c r="L93" s="7"/>
      <c r="M93" s="22"/>
      <c r="N93" s="1323" t="s">
        <v>716</v>
      </c>
    </row>
    <row r="94" spans="1:15" ht="15.75">
      <c r="A94" s="2711" t="s">
        <v>1719</v>
      </c>
      <c r="B94" s="1509" t="s">
        <v>549</v>
      </c>
      <c r="C94" s="6" t="s">
        <v>1118</v>
      </c>
      <c r="D94" s="1"/>
      <c r="E94" s="1510" t="s">
        <v>552</v>
      </c>
      <c r="F94" s="435">
        <f>C71/C70</f>
        <v>0.63264746227709201</v>
      </c>
      <c r="G94" s="435"/>
      <c r="H94" s="1268" t="s">
        <v>740</v>
      </c>
      <c r="I94" s="1342">
        <f>$I$92*F94/F$95</f>
        <v>21.765470425313428</v>
      </c>
      <c r="J94" s="1263" t="s">
        <v>547</v>
      </c>
      <c r="K94" s="1"/>
      <c r="L94" s="7"/>
      <c r="M94" s="22"/>
      <c r="N94" s="75"/>
      <c r="O94" s="11"/>
    </row>
    <row r="95" spans="1:15">
      <c r="A95" s="6"/>
      <c r="B95" s="6"/>
      <c r="C95" s="6"/>
      <c r="D95" s="1"/>
      <c r="E95" s="1509" t="s">
        <v>739</v>
      </c>
      <c r="F95" s="435">
        <f>SUM(F93:F94)</f>
        <v>1.6326474622770921</v>
      </c>
      <c r="G95" s="435"/>
      <c r="H95" s="1268" t="s">
        <v>740</v>
      </c>
      <c r="I95" s="6"/>
      <c r="J95" s="1"/>
      <c r="K95" s="1"/>
      <c r="L95" s="7"/>
      <c r="M95" s="22"/>
      <c r="N95" s="75"/>
      <c r="O95" s="11"/>
    </row>
    <row r="96" spans="1:15" ht="14.25">
      <c r="A96" s="161"/>
      <c r="B96" s="162"/>
      <c r="C96" s="162"/>
      <c r="D96" s="162"/>
      <c r="E96" s="1443" t="s">
        <v>742</v>
      </c>
      <c r="F96" s="1444"/>
      <c r="G96" s="163"/>
      <c r="H96" s="1374"/>
      <c r="I96" s="3325" t="s">
        <v>528</v>
      </c>
      <c r="J96" s="3325"/>
      <c r="K96" s="3325"/>
      <c r="L96" s="166">
        <f>I93</f>
        <v>34.403789982769915</v>
      </c>
      <c r="M96" s="22"/>
      <c r="N96" s="1325">
        <f>L96/$E$72</f>
        <v>1181.3732191006532</v>
      </c>
      <c r="O96" s="22"/>
    </row>
    <row r="97" spans="1:15">
      <c r="A97" s="11"/>
      <c r="B97" s="11"/>
      <c r="C97" s="11"/>
      <c r="D97" s="22"/>
      <c r="E97" s="22"/>
      <c r="F97" s="45"/>
      <c r="G97" s="45"/>
      <c r="H97" s="60"/>
      <c r="I97" s="52"/>
      <c r="J97" s="22"/>
      <c r="K97" s="22"/>
      <c r="L97" s="65"/>
      <c r="M97" s="22"/>
      <c r="O97" s="22"/>
    </row>
    <row r="98" spans="1:15">
      <c r="A98" s="11"/>
      <c r="B98" s="11"/>
      <c r="C98" s="11"/>
      <c r="D98" s="22"/>
      <c r="E98" s="22"/>
      <c r="F98" s="45"/>
      <c r="G98" s="45"/>
      <c r="H98" s="60"/>
      <c r="I98" s="52"/>
      <c r="J98" s="22"/>
      <c r="K98" s="22"/>
      <c r="L98" s="65"/>
      <c r="M98" s="22"/>
      <c r="N98" s="11"/>
      <c r="O98" s="3"/>
    </row>
    <row r="99" spans="1:15" ht="15.75">
      <c r="A99" s="168" t="s">
        <v>554</v>
      </c>
      <c r="B99" s="169"/>
      <c r="C99" s="169"/>
      <c r="D99" s="169"/>
      <c r="E99" s="3153" t="s">
        <v>800</v>
      </c>
      <c r="F99" s="3154"/>
      <c r="G99" s="3154"/>
      <c r="H99" s="3154"/>
      <c r="I99" s="3153" t="s">
        <v>788</v>
      </c>
      <c r="J99" s="3154"/>
      <c r="K99" s="3154"/>
      <c r="L99" s="3155"/>
      <c r="M99" s="22"/>
      <c r="N99" s="134" t="s">
        <v>789</v>
      </c>
      <c r="O99" s="22"/>
    </row>
    <row r="100" spans="1:15" ht="12.75" customHeight="1">
      <c r="A100" s="3228" t="s">
        <v>807</v>
      </c>
      <c r="B100" s="3229"/>
      <c r="C100" s="9"/>
      <c r="D100" s="9"/>
      <c r="E100" s="99"/>
      <c r="F100" s="37"/>
      <c r="G100" s="37"/>
      <c r="H100" s="9"/>
      <c r="I100" s="3294" t="s">
        <v>523</v>
      </c>
      <c r="J100" s="3295"/>
      <c r="K100" s="3295"/>
      <c r="L100" s="3296"/>
      <c r="M100" s="22"/>
      <c r="N100" s="126" t="s">
        <v>560</v>
      </c>
      <c r="O100" s="22"/>
    </row>
    <row r="101" spans="1:15" ht="15.75">
      <c r="A101" s="1407" t="s">
        <v>548</v>
      </c>
      <c r="B101" s="9" t="s">
        <v>1166</v>
      </c>
      <c r="C101" s="423">
        <v>0.96</v>
      </c>
      <c r="D101" s="1148" t="s">
        <v>557</v>
      </c>
      <c r="E101" s="99">
        <f>E70*C101</f>
        <v>43067.015659079414</v>
      </c>
      <c r="F101" s="1148" t="s">
        <v>543</v>
      </c>
      <c r="G101" s="37"/>
      <c r="H101" s="9"/>
      <c r="I101" s="1322" t="s">
        <v>709</v>
      </c>
      <c r="J101" s="1323" t="s">
        <v>710</v>
      </c>
      <c r="K101" s="1323" t="s">
        <v>711</v>
      </c>
      <c r="L101" s="1323" t="s">
        <v>716</v>
      </c>
      <c r="M101" s="22"/>
      <c r="N101" s="1323" t="s">
        <v>716</v>
      </c>
      <c r="O101" s="22"/>
    </row>
    <row r="102" spans="1:15" ht="15.75">
      <c r="A102" s="1423"/>
      <c r="B102" s="79"/>
      <c r="C102" s="80"/>
      <c r="D102" s="79"/>
      <c r="E102" s="109">
        <f>E71*C101</f>
        <v>0.58218021432457467</v>
      </c>
      <c r="F102" s="1148" t="s">
        <v>515</v>
      </c>
      <c r="G102" s="79"/>
      <c r="H102" s="9"/>
      <c r="I102" s="13"/>
      <c r="J102" s="13"/>
      <c r="K102" s="75"/>
      <c r="L102" s="75"/>
      <c r="M102" s="22"/>
      <c r="N102" s="75"/>
      <c r="O102" s="22"/>
    </row>
    <row r="103" spans="1:15" ht="15.75">
      <c r="A103" s="1425" t="s">
        <v>688</v>
      </c>
      <c r="B103" s="10" t="s">
        <v>1429</v>
      </c>
      <c r="C103" s="9"/>
      <c r="D103" s="79"/>
      <c r="E103" s="566">
        <f>E101/$E$219/VLOOKUP($B70,'Standard values'!$C$9:$S$159,14, FALSE)</f>
        <v>2.7956989247311825E-2</v>
      </c>
      <c r="F103" s="1148" t="s">
        <v>544</v>
      </c>
      <c r="G103" s="37"/>
      <c r="H103" s="9"/>
      <c r="I103" s="13"/>
      <c r="J103" s="13"/>
      <c r="K103" s="75"/>
      <c r="L103" s="75"/>
      <c r="M103" s="22"/>
      <c r="N103" s="75"/>
      <c r="O103" s="22"/>
    </row>
    <row r="104" spans="1:15" ht="27">
      <c r="A104" s="2710" t="s">
        <v>1697</v>
      </c>
      <c r="B104" s="9" t="s">
        <v>1372</v>
      </c>
      <c r="C104" s="434">
        <f>1.4*0.0006</f>
        <v>8.3999999999999993E-4</v>
      </c>
      <c r="D104" s="1148" t="s">
        <v>558</v>
      </c>
      <c r="E104" s="36"/>
      <c r="F104" s="9"/>
      <c r="G104" s="9"/>
      <c r="H104" s="9"/>
      <c r="I104" s="1235">
        <f>$C104*$E$102*VLOOKUP($B104,'Standard values'!$C$9:$S$159,7, FALSE)/$E$220</f>
        <v>0.10091108593548384</v>
      </c>
      <c r="J104" s="1235">
        <f>$C104*$E$102*VLOOKUP($B104,'Standard values'!$C$9:$S$159,8, FALSE)/$E$220</f>
        <v>2.4608748387096768E-4</v>
      </c>
      <c r="K104" s="81">
        <f>$C104*$E$102*VLOOKUP($B104,'Standard values'!$C$9:$S$159,9, FALSE)/$E$220</f>
        <v>4.5558709677419341E-6</v>
      </c>
      <c r="L104" s="1387">
        <f>I104*'Standard values'!$D$10+J104*'Standard values'!$D$11+K104*'Standard values'!$D$12</f>
        <v>0.10842092258064513</v>
      </c>
      <c r="M104" s="22"/>
      <c r="N104" s="114">
        <f>L104/$E$103</f>
        <v>3.8781329999999992</v>
      </c>
      <c r="O104" s="22"/>
    </row>
    <row r="105" spans="1:15" ht="15.75">
      <c r="A105" s="1426" t="s">
        <v>555</v>
      </c>
      <c r="B105" s="9" t="s">
        <v>842</v>
      </c>
      <c r="C105" s="434">
        <f>1.4*0.00822222222222222</f>
        <v>1.1511111111111106E-2</v>
      </c>
      <c r="D105" s="1148" t="s">
        <v>558</v>
      </c>
      <c r="E105" s="13"/>
      <c r="F105" s="9"/>
      <c r="G105" s="9"/>
      <c r="H105" s="9"/>
      <c r="I105" s="1235"/>
      <c r="J105" s="1235"/>
      <c r="K105" s="81"/>
      <c r="L105" s="1387"/>
      <c r="M105" s="22"/>
      <c r="N105" s="114"/>
      <c r="O105" s="22"/>
    </row>
    <row r="106" spans="1:15">
      <c r="A106" s="1514" t="s">
        <v>724</v>
      </c>
      <c r="B106" s="1353" t="s">
        <v>936</v>
      </c>
      <c r="C106" s="1354"/>
      <c r="D106" s="1354"/>
      <c r="E106" s="6"/>
      <c r="F106" s="1"/>
      <c r="G106" s="1"/>
      <c r="H106" s="1"/>
      <c r="I106" s="3332" t="s">
        <v>717</v>
      </c>
      <c r="J106" s="3290"/>
      <c r="K106" s="3290"/>
      <c r="L106" s="3291"/>
      <c r="M106" s="22"/>
      <c r="N106" s="114"/>
      <c r="O106" s="22"/>
    </row>
    <row r="107" spans="1:15" ht="15.75">
      <c r="A107" s="1417" t="s">
        <v>556</v>
      </c>
      <c r="B107" s="1480" t="s">
        <v>841</v>
      </c>
      <c r="C107" s="1361"/>
      <c r="D107" s="1354"/>
      <c r="E107" s="6"/>
      <c r="F107" s="1"/>
      <c r="G107" s="1"/>
      <c r="H107" s="1"/>
      <c r="I107" s="1342">
        <f>$C105*$E$102*VLOOKUP($B107,'Standard values'!$C$9:$S$156,7, FALSE)/$E$220</f>
        <v>0</v>
      </c>
      <c r="J107" s="1342">
        <f>$C105*$E$102*VLOOKUP($B107,'Standard values'!$C$9:$S$156,8, FALSE)/$E$220</f>
        <v>3.2181600955794489E-5</v>
      </c>
      <c r="K107" s="563">
        <f>$C105*$E$102*VLOOKUP($B107,'Standard values'!$C$9:$S$156,9, FALSE)/$E$220</f>
        <v>1.2872640382317794E-5</v>
      </c>
      <c r="L107" s="561">
        <f>I107*'Standard values'!$D$10+J107*'Standard values'!$D$11+K107*'Standard values'!$D$12</f>
        <v>4.6405868578255653E-3</v>
      </c>
      <c r="M107" s="22"/>
      <c r="N107" s="114">
        <f>L107/$E$103</f>
        <v>0.16599022222222215</v>
      </c>
      <c r="O107" s="22"/>
    </row>
    <row r="108" spans="1:15" ht="14.25">
      <c r="A108" s="1418" t="s">
        <v>628</v>
      </c>
      <c r="B108" s="1360" t="s">
        <v>843</v>
      </c>
      <c r="C108" s="1481">
        <f>1/0.9</f>
        <v>1.1111111111111112</v>
      </c>
      <c r="D108" s="1517" t="s">
        <v>542</v>
      </c>
      <c r="E108" s="6"/>
      <c r="F108" s="1"/>
      <c r="G108" s="1"/>
      <c r="H108" s="1"/>
      <c r="I108" s="1342"/>
      <c r="J108" s="1415"/>
      <c r="K108" s="1338"/>
      <c r="L108" s="561"/>
      <c r="M108" s="22"/>
      <c r="N108" s="114"/>
      <c r="O108" s="22"/>
    </row>
    <row r="109" spans="1:15" ht="15.75">
      <c r="A109" s="1482" t="s">
        <v>727</v>
      </c>
      <c r="B109" s="1360" t="s">
        <v>1183</v>
      </c>
      <c r="C109" s="1361">
        <f>C108*C105</f>
        <v>1.2790123456790118E-2</v>
      </c>
      <c r="D109" s="1517" t="s">
        <v>541</v>
      </c>
      <c r="E109" s="6"/>
      <c r="F109" s="1"/>
      <c r="G109" s="1"/>
      <c r="H109" s="1"/>
      <c r="I109" s="1342">
        <f>$C109*$E$102*VLOOKUP($B109,'Standard values'!$C$9:$S$159,7, FALSE)/$E$220</f>
        <v>0.81051292903225769</v>
      </c>
      <c r="J109" s="1342">
        <f>$C109*$E$102*VLOOKUP($B109,'Standard values'!$C$9:$S$159,8, FALSE)/$E$220</f>
        <v>2.55057066241869E-3</v>
      </c>
      <c r="K109" s="563">
        <f>$C109*$E$102*VLOOKUP($B109,'Standard values'!$C$9:$S$159,9, FALSE)/$E$220</f>
        <v>2.8605867516261772E-6</v>
      </c>
      <c r="L109" s="561">
        <f>I109*'Standard values'!$D$10+J109*'Standard values'!$D$11+K109*'Standard values'!$D$12</f>
        <v>0.87512965044470958</v>
      </c>
      <c r="M109" s="22"/>
      <c r="N109" s="114">
        <f>L109/$E$103</f>
        <v>31.302714419753077</v>
      </c>
      <c r="O109" s="22"/>
    </row>
    <row r="110" spans="1:15" ht="14.25">
      <c r="A110" s="1418" t="s">
        <v>582</v>
      </c>
      <c r="B110" s="1360" t="s">
        <v>844</v>
      </c>
      <c r="C110" s="1481">
        <v>0.02</v>
      </c>
      <c r="D110" s="1517" t="s">
        <v>542</v>
      </c>
      <c r="E110" s="6"/>
      <c r="F110" s="1"/>
      <c r="G110" s="1"/>
      <c r="H110" s="1"/>
      <c r="I110" s="1342"/>
      <c r="J110" s="1415"/>
      <c r="K110" s="1338"/>
      <c r="L110" s="561"/>
      <c r="M110" s="22"/>
      <c r="N110" s="114"/>
      <c r="O110" s="22"/>
    </row>
    <row r="111" spans="1:15" ht="27">
      <c r="A111" s="2712" t="s">
        <v>1729</v>
      </c>
      <c r="B111" s="1360" t="s">
        <v>1372</v>
      </c>
      <c r="C111" s="1361">
        <f>C110*C105</f>
        <v>2.3022222222222213E-4</v>
      </c>
      <c r="D111" s="1517" t="s">
        <v>558</v>
      </c>
      <c r="E111" s="6"/>
      <c r="F111" s="1"/>
      <c r="G111" s="1"/>
      <c r="H111" s="1"/>
      <c r="I111" s="1342">
        <f>$C111*$E$102*VLOOKUP($B111,'Standard values'!$C$9:$S$159,7, FALSE)/$E$220</f>
        <v>2.7657112441577047E-2</v>
      </c>
      <c r="J111" s="1342">
        <f>$C111*$E$102*VLOOKUP($B111,'Standard values'!$C$9:$S$159,8, FALSE)/$E$220</f>
        <v>6.7446199283154097E-5</v>
      </c>
      <c r="K111" s="563">
        <f>$C111*$E$102*VLOOKUP($B111,'Standard values'!$C$9:$S$159,9, FALSE)/$E$220</f>
        <v>1.2486461170848262E-6</v>
      </c>
      <c r="L111" s="561">
        <f>I111*'Standard values'!$D$10+J111*'Standard values'!$D$11+K111*'Standard values'!$D$12</f>
        <v>2.9715363966547177E-2</v>
      </c>
      <c r="M111" s="22"/>
      <c r="N111" s="114">
        <f>L111/$E$103</f>
        <v>1.0628957111111106</v>
      </c>
      <c r="O111" s="22"/>
    </row>
    <row r="112" spans="1:15">
      <c r="A112" s="1515"/>
      <c r="B112" s="1489"/>
      <c r="C112" s="37"/>
      <c r="D112" s="9"/>
      <c r="E112" s="13"/>
      <c r="F112" s="9"/>
      <c r="G112" s="9"/>
      <c r="H112" s="9"/>
      <c r="I112" s="1235"/>
      <c r="J112" s="1235"/>
      <c r="K112" s="81"/>
      <c r="L112" s="1387"/>
      <c r="M112" s="22"/>
      <c r="N112" s="114"/>
      <c r="O112" s="22"/>
    </row>
    <row r="113" spans="1:15">
      <c r="A113" s="1488" t="s">
        <v>537</v>
      </c>
      <c r="B113" s="1488" t="s">
        <v>1167</v>
      </c>
      <c r="C113" s="37"/>
      <c r="D113" s="9"/>
      <c r="E113" s="13"/>
      <c r="F113" s="9"/>
      <c r="G113" s="9"/>
      <c r="H113" s="9"/>
      <c r="I113" s="1235"/>
      <c r="J113" s="1235"/>
      <c r="K113" s="81"/>
      <c r="L113" s="1387"/>
      <c r="M113" s="22"/>
      <c r="N113" s="114"/>
      <c r="O113" s="22"/>
    </row>
    <row r="114" spans="1:15" ht="15.75">
      <c r="A114" s="2713" t="s">
        <v>1730</v>
      </c>
      <c r="B114" s="1516" t="s">
        <v>1132</v>
      </c>
      <c r="C114" s="434">
        <f>1.4*0.000166666666666667</f>
        <v>2.3333333333333379E-4</v>
      </c>
      <c r="D114" s="1148" t="s">
        <v>559</v>
      </c>
      <c r="E114" s="13"/>
      <c r="F114" s="9"/>
      <c r="G114" s="9"/>
      <c r="H114" s="9"/>
      <c r="I114" s="1235">
        <f>$C114*$E$102*VLOOKUP($B114,'Standard values'!$C$9:$S$159,3, FALSE)/$E$220</f>
        <v>4.6263225806451702E-2</v>
      </c>
      <c r="J114" s="1235">
        <f>$C114*$E$102*VLOOKUP($B114,'Standard values'!$C$9:$S$159,4, FALSE)/$E$220</f>
        <v>8.7594838709677587E-6</v>
      </c>
      <c r="K114" s="81">
        <f>$C114*$E$102*VLOOKUP($B114,'Standard values'!$C$9:$S$159,5, FALSE)/$E$220</f>
        <v>1.4794838709677448E-6</v>
      </c>
      <c r="L114" s="1387">
        <f>I114*'Standard values'!$D$10+J114*'Standard values'!$D$11+K114*'Standard values'!$D$12</f>
        <v>4.6923099096774286E-2</v>
      </c>
      <c r="M114" s="22"/>
      <c r="N114" s="114">
        <f>L114/$E$103</f>
        <v>1.6784031600000036</v>
      </c>
      <c r="O114" s="22"/>
    </row>
    <row r="115" spans="1:15">
      <c r="A115" s="1397"/>
      <c r="B115" s="1485"/>
      <c r="C115" s="37"/>
      <c r="D115" s="37"/>
      <c r="E115" s="100"/>
      <c r="F115" s="9"/>
      <c r="G115" s="9"/>
      <c r="H115" s="1406" t="s">
        <v>770</v>
      </c>
      <c r="I115" s="1518">
        <f>SUM(I102:I114)</f>
        <v>0.9853443532157703</v>
      </c>
      <c r="J115" s="1518">
        <f>SUM(J102:J114)</f>
        <v>2.9050454303995743E-3</v>
      </c>
      <c r="K115" s="1325">
        <f>SUM(K102:K114)</f>
        <v>2.3017228089738476E-5</v>
      </c>
      <c r="L115" s="1151">
        <f>I115*'Standard values'!$D$10+J115*'Standard values'!$D$11+K115*'Standard values'!$D$12</f>
        <v>1.0648296229465017</v>
      </c>
      <c r="M115" s="22"/>
      <c r="N115" s="1325">
        <f>L115/$E$103</f>
        <v>38.088136513086411</v>
      </c>
      <c r="O115" s="22"/>
    </row>
    <row r="116" spans="1:15">
      <c r="A116" s="1397"/>
      <c r="B116" s="1485"/>
      <c r="C116" s="37"/>
      <c r="D116" s="37"/>
      <c r="E116" s="13"/>
      <c r="F116" s="9"/>
      <c r="G116" s="9"/>
      <c r="H116" s="9"/>
      <c r="I116" s="13"/>
      <c r="J116" s="1519"/>
      <c r="K116" s="1520"/>
      <c r="L116" s="75"/>
      <c r="M116" s="22"/>
      <c r="N116" s="11"/>
      <c r="O116" s="22"/>
    </row>
    <row r="117" spans="1:15" ht="14.25">
      <c r="A117" s="161"/>
      <c r="B117" s="162"/>
      <c r="C117" s="162"/>
      <c r="D117" s="162"/>
      <c r="E117" s="161"/>
      <c r="F117" s="163"/>
      <c r="G117" s="163"/>
      <c r="H117" s="1404" t="s">
        <v>792</v>
      </c>
      <c r="I117" s="3325" t="s">
        <v>528</v>
      </c>
      <c r="J117" s="3325"/>
      <c r="K117" s="3325"/>
      <c r="L117" s="1405">
        <f>L115</f>
        <v>1.0648296229465017</v>
      </c>
      <c r="M117" s="22"/>
      <c r="N117" s="11"/>
      <c r="O117" s="22"/>
    </row>
    <row r="118" spans="1:15">
      <c r="A118" s="11"/>
      <c r="B118" s="11"/>
      <c r="C118" s="11"/>
      <c r="D118" s="22"/>
      <c r="E118" s="22"/>
      <c r="F118" s="45"/>
      <c r="G118" s="45"/>
      <c r="H118" s="60"/>
      <c r="I118" s="52"/>
      <c r="J118" s="22"/>
      <c r="K118" s="22"/>
      <c r="L118" s="65"/>
      <c r="M118" s="22"/>
      <c r="N118" s="22"/>
      <c r="O118" s="22"/>
    </row>
    <row r="119" spans="1:15">
      <c r="A119" s="11"/>
      <c r="B119" s="11"/>
      <c r="C119" s="11"/>
      <c r="D119" s="22"/>
      <c r="E119" s="22"/>
      <c r="F119" s="45"/>
      <c r="G119" s="45"/>
      <c r="H119" s="60"/>
      <c r="I119" s="52"/>
      <c r="J119" s="22"/>
      <c r="K119" s="22"/>
      <c r="L119" s="65"/>
      <c r="M119" s="22"/>
      <c r="N119" s="22"/>
      <c r="O119" s="22"/>
    </row>
    <row r="120" spans="1:15" ht="15.75">
      <c r="A120" s="168" t="s">
        <v>1731</v>
      </c>
      <c r="B120" s="169"/>
      <c r="C120" s="169"/>
      <c r="D120" s="169"/>
      <c r="E120" s="3153" t="s">
        <v>800</v>
      </c>
      <c r="F120" s="3154"/>
      <c r="G120" s="3154"/>
      <c r="H120" s="3154"/>
      <c r="I120" s="3153" t="s">
        <v>788</v>
      </c>
      <c r="J120" s="3154"/>
      <c r="K120" s="3154"/>
      <c r="L120" s="3155"/>
      <c r="M120" s="22"/>
      <c r="N120" s="134" t="s">
        <v>789</v>
      </c>
      <c r="O120" s="22"/>
    </row>
    <row r="121" spans="1:15" ht="15.75">
      <c r="A121" s="3228" t="s">
        <v>807</v>
      </c>
      <c r="B121" s="3229"/>
      <c r="C121" s="9"/>
      <c r="D121" s="9"/>
      <c r="E121" s="99"/>
      <c r="F121" s="37"/>
      <c r="G121" s="37"/>
      <c r="H121" s="9"/>
      <c r="I121" s="3156" t="s">
        <v>1165</v>
      </c>
      <c r="J121" s="3144"/>
      <c r="K121" s="3144"/>
      <c r="L121" s="3145"/>
      <c r="M121" s="22"/>
      <c r="N121" s="126" t="s">
        <v>561</v>
      </c>
      <c r="O121" s="22"/>
    </row>
    <row r="122" spans="1:15" ht="15.75">
      <c r="A122" s="1148" t="s">
        <v>562</v>
      </c>
      <c r="B122" s="13" t="s">
        <v>1479</v>
      </c>
      <c r="C122" s="1500">
        <v>0.99358974358974361</v>
      </c>
      <c r="D122" s="1208" t="s">
        <v>568</v>
      </c>
      <c r="E122" s="99">
        <f>E101*C122</f>
        <v>42790.945045880188</v>
      </c>
      <c r="F122" s="37" t="s">
        <v>1116</v>
      </c>
      <c r="G122" s="37"/>
      <c r="H122" s="9"/>
      <c r="I122" s="1322" t="s">
        <v>709</v>
      </c>
      <c r="J122" s="1323" t="s">
        <v>710</v>
      </c>
      <c r="K122" s="1323" t="s">
        <v>711</v>
      </c>
      <c r="L122" s="1323" t="s">
        <v>716</v>
      </c>
      <c r="M122" s="22"/>
      <c r="N122" s="1323" t="s">
        <v>716</v>
      </c>
      <c r="O122" s="22"/>
    </row>
    <row r="123" spans="1:15" ht="15.75">
      <c r="A123" s="2709" t="s">
        <v>1732</v>
      </c>
      <c r="B123" s="1523" t="s">
        <v>1200</v>
      </c>
      <c r="C123" s="1530">
        <v>105.6</v>
      </c>
      <c r="D123" s="1208" t="s">
        <v>569</v>
      </c>
      <c r="E123" s="109">
        <f>E102*C122</f>
        <v>0.57844828987377617</v>
      </c>
      <c r="F123" s="79" t="s">
        <v>1109</v>
      </c>
      <c r="G123" s="79"/>
      <c r="H123" s="9"/>
      <c r="I123" s="13"/>
      <c r="J123" s="75"/>
      <c r="K123" s="75"/>
      <c r="L123" s="75"/>
      <c r="M123" s="22"/>
      <c r="N123" s="75"/>
      <c r="O123" s="22"/>
    </row>
    <row r="124" spans="1:15" ht="15.75">
      <c r="A124" s="1490"/>
      <c r="B124" s="78"/>
      <c r="C124" s="1496"/>
      <c r="D124" s="1253"/>
      <c r="E124" s="566">
        <f>E122/$E$219/VLOOKUP($B122,'Standard values'!$C$9:$S$159,14, FALSE)</f>
        <v>2.6881720430107524E-2</v>
      </c>
      <c r="F124" s="37" t="s">
        <v>1011</v>
      </c>
      <c r="G124" s="37"/>
      <c r="H124" s="9"/>
      <c r="I124" s="13"/>
      <c r="J124" s="75"/>
      <c r="K124" s="75"/>
      <c r="L124" s="75"/>
      <c r="M124" s="22"/>
      <c r="N124" s="114"/>
      <c r="O124" s="22"/>
    </row>
    <row r="125" spans="1:15">
      <c r="A125" s="10" t="s">
        <v>688</v>
      </c>
      <c r="B125" s="72" t="s">
        <v>1429</v>
      </c>
      <c r="C125" s="13"/>
      <c r="D125" s="75"/>
      <c r="E125" s="36"/>
      <c r="F125" s="9"/>
      <c r="G125" s="9"/>
      <c r="H125" s="9"/>
      <c r="I125" s="13"/>
      <c r="J125" s="75"/>
      <c r="K125" s="75"/>
      <c r="L125" s="75"/>
      <c r="M125" s="22"/>
      <c r="N125" s="114"/>
      <c r="O125" s="22"/>
    </row>
    <row r="126" spans="1:15" ht="27">
      <c r="A126" s="2710" t="s">
        <v>1697</v>
      </c>
      <c r="B126" s="13" t="s">
        <v>1372</v>
      </c>
      <c r="C126" s="1500">
        <f>1.4*0.00290322580645161</f>
        <v>4.0645161290322543E-3</v>
      </c>
      <c r="D126" s="1208" t="s">
        <v>570</v>
      </c>
      <c r="E126" s="13"/>
      <c r="F126" s="9"/>
      <c r="G126" s="9"/>
      <c r="H126" s="9"/>
      <c r="I126" s="1235">
        <f>$C126*$E$123*VLOOKUP($B126,'Standard values'!$C$9:$S$159,7, FALSE)/$E$220</f>
        <v>0.48514945161290279</v>
      </c>
      <c r="J126" s="81">
        <f>$C126*$E$123*VLOOKUP($B126,'Standard values'!$C$9:$S$159,8, FALSE)/$E$220</f>
        <v>1.1831129032258056E-3</v>
      </c>
      <c r="K126" s="81">
        <f>$C126*$E$123*VLOOKUP($B126,'Standard values'!$C$9:$S$159,9, FALSE)/$E$220</f>
        <v>2.1903225806451598E-5</v>
      </c>
      <c r="L126" s="1387">
        <f>I126*'Standard values'!$D$10+J126*'Standard values'!$D$11+K126*'Standard values'!$D$12</f>
        <v>0.52125443548387052</v>
      </c>
      <c r="M126" s="22"/>
      <c r="N126" s="114">
        <f>L126/$E$124</f>
        <v>19.390664999999984</v>
      </c>
      <c r="O126" s="22"/>
    </row>
    <row r="127" spans="1:15" ht="15.75">
      <c r="A127" s="1521" t="s">
        <v>555</v>
      </c>
      <c r="B127" s="13" t="s">
        <v>842</v>
      </c>
      <c r="C127" s="1500">
        <f>1.4*0.0718477788639079</f>
        <v>0.10058689040947107</v>
      </c>
      <c r="D127" s="1208" t="s">
        <v>570</v>
      </c>
      <c r="E127" s="13"/>
      <c r="F127" s="9"/>
      <c r="G127" s="9"/>
      <c r="H127" s="9"/>
      <c r="I127" s="1235"/>
      <c r="J127" s="81"/>
      <c r="K127" s="81"/>
      <c r="L127" s="1387"/>
      <c r="M127" s="22"/>
      <c r="N127" s="114"/>
      <c r="O127" s="22"/>
    </row>
    <row r="128" spans="1:15">
      <c r="A128" s="1522" t="s">
        <v>724</v>
      </c>
      <c r="B128" s="1524" t="s">
        <v>936</v>
      </c>
      <c r="C128" s="1528"/>
      <c r="D128" s="1257"/>
      <c r="E128" s="6"/>
      <c r="F128" s="1"/>
      <c r="G128" s="1"/>
      <c r="H128" s="1"/>
      <c r="I128" s="3332" t="s">
        <v>845</v>
      </c>
      <c r="J128" s="3290"/>
      <c r="K128" s="3290"/>
      <c r="L128" s="3291"/>
      <c r="M128" s="22"/>
      <c r="N128" s="114"/>
      <c r="O128" s="22"/>
    </row>
    <row r="129" spans="1:15" ht="15.75">
      <c r="A129" s="1417" t="s">
        <v>556</v>
      </c>
      <c r="B129" s="1525" t="s">
        <v>841</v>
      </c>
      <c r="C129" s="1529"/>
      <c r="D129" s="1257"/>
      <c r="E129" s="6"/>
      <c r="F129" s="1"/>
      <c r="G129" s="1"/>
      <c r="H129" s="1"/>
      <c r="I129" s="1342">
        <f>$C127*$E$123*VLOOKUP($B129,'Standard values'!$C$9:$S$156,7, FALSE)/$E$220</f>
        <v>0</v>
      </c>
      <c r="J129" s="1342">
        <f>$C127*$E$123*VLOOKUP($B129,'Standard values'!$C$9:$S$156,8, FALSE)/$E$220</f>
        <v>2.7940802891519742E-4</v>
      </c>
      <c r="K129" s="563">
        <f>$C127*$E$123*VLOOKUP($B129,'Standard values'!$C$9:$S$156,9, FALSE)/$E$220</f>
        <v>1.1176321156607898E-4</v>
      </c>
      <c r="L129" s="561">
        <f>I129*'Standard values'!$D$10+J129*'Standard values'!$D$11+K129*'Standard values'!$D$12</f>
        <v>4.0290637769571466E-2</v>
      </c>
      <c r="M129" s="22"/>
      <c r="N129" s="114">
        <f>L129/$E$124</f>
        <v>1.4988117250280588</v>
      </c>
      <c r="O129" s="22"/>
    </row>
    <row r="130" spans="1:15" ht="14.25">
      <c r="A130" s="1418" t="s">
        <v>628</v>
      </c>
      <c r="B130" s="1526" t="s">
        <v>843</v>
      </c>
      <c r="C130" s="1531">
        <f>1/0.9</f>
        <v>1.1111111111111112</v>
      </c>
      <c r="D130" s="1275" t="s">
        <v>542</v>
      </c>
      <c r="E130" s="6"/>
      <c r="F130" s="1"/>
      <c r="G130" s="1"/>
      <c r="H130" s="1"/>
      <c r="I130" s="1342"/>
      <c r="J130" s="1415"/>
      <c r="K130" s="1338"/>
      <c r="L130" s="561"/>
      <c r="M130" s="22"/>
      <c r="N130" s="114"/>
      <c r="O130" s="22"/>
    </row>
    <row r="131" spans="1:15" ht="15.75">
      <c r="A131" s="1482" t="s">
        <v>727</v>
      </c>
      <c r="B131" s="1526" t="s">
        <v>1183</v>
      </c>
      <c r="C131" s="1529">
        <f>C130*C127</f>
        <v>0.11176321156607896</v>
      </c>
      <c r="D131" s="1275" t="s">
        <v>570</v>
      </c>
      <c r="E131" s="6"/>
      <c r="F131" s="1"/>
      <c r="G131" s="1"/>
      <c r="H131" s="1"/>
      <c r="I131" s="1342">
        <f>$C131*$E$123*VLOOKUP($B131,'Standard values'!$C$9:$S$159,7, FALSE)/$E$220</f>
        <v>7.037058853046597</v>
      </c>
      <c r="J131" s="1342">
        <f>$C131*$E$123*VLOOKUP($B131,'Standard values'!$C$9:$S$159,8, FALSE)/$E$220</f>
        <v>2.2144638558356702E-2</v>
      </c>
      <c r="K131" s="563">
        <f>$C131*$E$123*VLOOKUP($B131,'Standard values'!$C$9:$S$159,9, FALSE)/$E$220</f>
        <v>2.4836269236906442E-5</v>
      </c>
      <c r="L131" s="561">
        <f>I131*'Standard values'!$D$10+J131*'Standard values'!$D$11+K131*'Standard values'!$D$12</f>
        <v>7.5980760252381128</v>
      </c>
      <c r="M131" s="22"/>
      <c r="N131" s="114">
        <f t="shared" ref="N131:N141" si="0">L131/$E$124</f>
        <v>282.64842813885781</v>
      </c>
      <c r="O131" s="22"/>
    </row>
    <row r="132" spans="1:15" ht="14.25">
      <c r="A132" s="1418" t="s">
        <v>582</v>
      </c>
      <c r="B132" s="1526" t="s">
        <v>844</v>
      </c>
      <c r="C132" s="1531">
        <v>0.02</v>
      </c>
      <c r="D132" s="1275" t="s">
        <v>542</v>
      </c>
      <c r="E132" s="6"/>
      <c r="F132" s="1"/>
      <c r="G132" s="1"/>
      <c r="H132" s="1"/>
      <c r="I132" s="1342"/>
      <c r="J132" s="1415"/>
      <c r="K132" s="1338"/>
      <c r="L132" s="561"/>
      <c r="M132" s="22"/>
      <c r="N132" s="114"/>
      <c r="O132" s="22"/>
    </row>
    <row r="133" spans="1:15" ht="27">
      <c r="A133" s="2712" t="s">
        <v>1697</v>
      </c>
      <c r="B133" s="1526" t="s">
        <v>1372</v>
      </c>
      <c r="C133" s="1529">
        <f>C132*C127</f>
        <v>2.0117378081894212E-3</v>
      </c>
      <c r="D133" s="1275" t="s">
        <v>570</v>
      </c>
      <c r="E133" s="6"/>
      <c r="F133" s="1"/>
      <c r="G133" s="1"/>
      <c r="H133" s="1"/>
      <c r="I133" s="1342">
        <f>$C133*$E$123*VLOOKUP($B133,'Standard values'!$C$9:$S$159,7, FALSE)/$E$220</f>
        <v>0.2401253835507404</v>
      </c>
      <c r="J133" s="1342">
        <f>$C133*$E$123*VLOOKUP($B133,'Standard values'!$C$9:$S$159,8, FALSE)/$E$220</f>
        <v>5.8558334700047076E-4</v>
      </c>
      <c r="K133" s="563">
        <f>$C133*$E$123*VLOOKUP($B133,'Standard values'!$C$9:$S$159,9, FALSE)/$E$220</f>
        <v>1.084103152190966E-5</v>
      </c>
      <c r="L133" s="561">
        <f>I133*'Standard values'!$D$10+J133*'Standard values'!$D$11+K133*'Standard values'!$D$12</f>
        <v>0.25799559461928123</v>
      </c>
      <c r="M133" s="22"/>
      <c r="N133" s="114">
        <f t="shared" si="0"/>
        <v>9.5974361198372637</v>
      </c>
      <c r="O133" s="22"/>
    </row>
    <row r="134" spans="1:15">
      <c r="A134" s="13"/>
      <c r="B134" s="13"/>
      <c r="C134" s="1469"/>
      <c r="D134" s="75"/>
      <c r="E134" s="13"/>
      <c r="F134" s="9"/>
      <c r="G134" s="9"/>
      <c r="H134" s="9"/>
      <c r="I134" s="1235"/>
      <c r="J134" s="1235"/>
      <c r="K134" s="81"/>
      <c r="L134" s="1387"/>
      <c r="M134" s="22"/>
      <c r="N134" s="114"/>
      <c r="O134" s="22"/>
    </row>
    <row r="135" spans="1:15">
      <c r="A135" s="1327" t="s">
        <v>537</v>
      </c>
      <c r="B135" s="72" t="s">
        <v>1167</v>
      </c>
      <c r="C135" s="1469"/>
      <c r="D135" s="75"/>
      <c r="E135" s="13"/>
      <c r="F135" s="9"/>
      <c r="G135" s="9"/>
      <c r="H135" s="9"/>
      <c r="I135" s="1235"/>
      <c r="J135" s="1235"/>
      <c r="K135" s="81"/>
      <c r="L135" s="1387"/>
      <c r="M135" s="22"/>
      <c r="N135" s="114"/>
      <c r="O135" s="22"/>
    </row>
    <row r="136" spans="1:15" ht="15.75">
      <c r="A136" s="1327" t="s">
        <v>563</v>
      </c>
      <c r="B136" s="13" t="s">
        <v>991</v>
      </c>
      <c r="C136" s="1532">
        <f>1.4*0.0000456989247311828</f>
        <v>6.3978494623655906E-5</v>
      </c>
      <c r="D136" s="1208" t="s">
        <v>571</v>
      </c>
      <c r="E136" s="13"/>
      <c r="F136" s="9"/>
      <c r="G136" s="9"/>
      <c r="H136" s="9"/>
      <c r="I136" s="1235">
        <f>$C136*$E$123*VLOOKUP($B136,'Standard values'!$C$9:$S$159,3, FALSE)/$E$220</f>
        <v>0.17760430107526878</v>
      </c>
      <c r="J136" s="1235">
        <f>$C136*$E$123*VLOOKUP($B136,'Standard values'!$C$9:$S$159,4, FALSE)/$E$220</f>
        <v>5.7112322580645154E-4</v>
      </c>
      <c r="K136" s="81">
        <f>$C136*$E$123*VLOOKUP($B136,'Standard values'!$C$9:$S$159,5, FALSE)/$E$220</f>
        <v>6.5769892473118279E-6</v>
      </c>
      <c r="L136" s="1387">
        <f>I136*'Standard values'!$D$10+J136*'Standard values'!$D$11+K136*'Standard values'!$D$12</f>
        <v>0.19384232451612898</v>
      </c>
      <c r="M136" s="22"/>
      <c r="N136" s="114">
        <f t="shared" si="0"/>
        <v>7.210934471999999</v>
      </c>
      <c r="O136" s="22"/>
    </row>
    <row r="137" spans="1:15" ht="15.75">
      <c r="A137" s="1327" t="s">
        <v>564</v>
      </c>
      <c r="B137" s="13" t="s">
        <v>986</v>
      </c>
      <c r="C137" s="1532">
        <f>1.4*0.000537634408602151</f>
        <v>7.5268817204301129E-4</v>
      </c>
      <c r="D137" s="1208" t="s">
        <v>571</v>
      </c>
      <c r="E137" s="13"/>
      <c r="F137" s="9"/>
      <c r="G137" s="9"/>
      <c r="H137" s="9"/>
      <c r="I137" s="1235">
        <f>$C137*$E$123*VLOOKUP($B137,'Standard values'!$C$9:$S$159,3, FALSE)/$E$220</f>
        <v>0.53996193548387139</v>
      </c>
      <c r="J137" s="1235">
        <f>$C137*$E$123*VLOOKUP($B137,'Standard values'!$C$9:$S$159,4, FALSE)/$E$220</f>
        <v>8.4978494623655972E-4</v>
      </c>
      <c r="K137" s="81">
        <f>$C137*$E$123*VLOOKUP($B137,'Standard values'!$C$9:$S$159,5, FALSE)/$E$220</f>
        <v>1.9118279569892487E-5</v>
      </c>
      <c r="L137" s="1387">
        <f>I137*'Standard values'!$D$10+J137*'Standard values'!$D$11+K137*'Standard values'!$D$12</f>
        <v>0.56690380645161331</v>
      </c>
      <c r="M137" s="22"/>
      <c r="N137" s="114">
        <f t="shared" si="0"/>
        <v>21.088821600000017</v>
      </c>
      <c r="O137" s="22"/>
    </row>
    <row r="138" spans="1:15" ht="15.75">
      <c r="A138" s="1327" t="s">
        <v>565</v>
      </c>
      <c r="B138" s="13" t="s">
        <v>1115</v>
      </c>
      <c r="C138" s="1532">
        <f>1.4*0.0000672043010752688</f>
        <v>9.4086021505376317E-5</v>
      </c>
      <c r="D138" s="1208" t="s">
        <v>571</v>
      </c>
      <c r="E138" s="13"/>
      <c r="F138" s="9"/>
      <c r="G138" s="9"/>
      <c r="H138" s="9"/>
      <c r="I138" s="1235">
        <f>$C138*$E$123*VLOOKUP($B138,'Standard values'!$C$9:$S$159,3, FALSE)/$E$220</f>
        <v>9.8413978494623633E-2</v>
      </c>
      <c r="J138" s="1235">
        <f>$C138*$E$123*VLOOKUP($B138,'Standard values'!$C$9:$S$159,4, FALSE)/$E$220</f>
        <v>5.8333333333333327E-4</v>
      </c>
      <c r="K138" s="81">
        <f>$C138*$E$123*VLOOKUP($B138,'Standard values'!$C$9:$S$159,5, FALSE)/$E$220</f>
        <v>5.174731182795697E-7</v>
      </c>
      <c r="L138" s="1387">
        <f>I138*'Standard values'!$D$10+J138*'Standard values'!$D$11+K138*'Standard values'!$D$12</f>
        <v>0.11315151881720428</v>
      </c>
      <c r="M138" s="22"/>
      <c r="N138" s="114">
        <f t="shared" si="0"/>
        <v>4.2092364999999994</v>
      </c>
      <c r="O138" s="22"/>
    </row>
    <row r="139" spans="1:15" ht="15.75">
      <c r="A139" s="1327" t="s">
        <v>566</v>
      </c>
      <c r="B139" s="13" t="s">
        <v>1356</v>
      </c>
      <c r="C139" s="1532">
        <f>1.4*0.000180645161290323</f>
        <v>2.5290322580645222E-4</v>
      </c>
      <c r="D139" s="1208" t="s">
        <v>571</v>
      </c>
      <c r="E139" s="13"/>
      <c r="F139" s="9"/>
      <c r="G139" s="9"/>
      <c r="H139" s="9"/>
      <c r="I139" s="1235">
        <f>$C139*$E$123*VLOOKUP($B139,'Standard values'!$C$9:$S$159,3, FALSE)/$E$220</f>
        <v>0.11089634477419381</v>
      </c>
      <c r="J139" s="1235">
        <f>$C139*$E$123*VLOOKUP($B139,'Standard values'!$C$9:$S$159,4, FALSE)/$E$220</f>
        <v>2.6051561290322644E-4</v>
      </c>
      <c r="K139" s="81">
        <f>$C139*$E$123*VLOOKUP($B139,'Standard values'!$C$9:$S$159,5, FALSE)/$E$220</f>
        <v>6.0696774193548535E-6</v>
      </c>
      <c r="L139" s="1387">
        <f>I139*'Standard values'!$D$10+J139*'Standard values'!$D$11+K139*'Standard values'!$D$12</f>
        <v>0.11921799896774223</v>
      </c>
      <c r="M139" s="22"/>
      <c r="N139" s="114">
        <f t="shared" si="0"/>
        <v>4.4349095616000112</v>
      </c>
      <c r="O139" s="22"/>
    </row>
    <row r="140" spans="1:15" ht="15.75">
      <c r="A140" s="1327" t="s">
        <v>567</v>
      </c>
      <c r="B140" s="13" t="s">
        <v>1409</v>
      </c>
      <c r="C140" s="1500">
        <f>1.4*0.0584556451612903</f>
        <v>8.1837903225806419E-2</v>
      </c>
      <c r="D140" s="1208" t="s">
        <v>570</v>
      </c>
      <c r="E140" s="13"/>
      <c r="F140" s="9"/>
      <c r="G140" s="9"/>
      <c r="H140" s="9"/>
      <c r="I140" s="1235">
        <f>$C140*$E$123*VLOOKUP($B140,'Standard values'!$C$9:$S$159,7, FALSE)/$E$220</f>
        <v>7.5943482780465921</v>
      </c>
      <c r="J140" s="1235">
        <f>$C140*$E$123*VLOOKUP($B140,'Standard values'!$C$9:$S$159,8, FALSE)/$E$220</f>
        <v>2.3735265210573467E-2</v>
      </c>
      <c r="K140" s="81">
        <f>$C140*$E$123*VLOOKUP($B140,'Standard values'!$C$9:$S$159,9, FALSE)/$E$220</f>
        <v>2.7279301075268806E-5</v>
      </c>
      <c r="L140" s="1387">
        <f>I140*'Standard values'!$D$10+J140*'Standard values'!$D$11+K140*'Standard values'!$D$12</f>
        <v>8.1958591400313576</v>
      </c>
      <c r="M140" s="22"/>
      <c r="N140" s="114">
        <f t="shared" si="0"/>
        <v>304.88596000916652</v>
      </c>
      <c r="O140" s="22"/>
    </row>
    <row r="141" spans="1:15">
      <c r="A141" s="13"/>
      <c r="B141" s="1527"/>
      <c r="C141" s="1469"/>
      <c r="D141" s="569"/>
      <c r="E141" s="100"/>
      <c r="F141" s="9"/>
      <c r="G141" s="9"/>
      <c r="H141" s="1406" t="s">
        <v>770</v>
      </c>
      <c r="I141" s="1518">
        <f>SUM(I123:I140)</f>
        <v>16.283558526084789</v>
      </c>
      <c r="J141" s="1518">
        <f>SUM(J123:J140)</f>
        <v>5.0192765166351211E-2</v>
      </c>
      <c r="K141" s="1325">
        <f>SUM(K123:K140)</f>
        <v>2.2890545856145422E-4</v>
      </c>
      <c r="L141" s="1151">
        <f>I141*'Standard values'!$D$10+J141*'Standard values'!$D$11+K141*'Standard values'!$D$12</f>
        <v>17.606591481894881</v>
      </c>
      <c r="M141" s="22"/>
      <c r="N141" s="112">
        <f t="shared" si="0"/>
        <v>654.96520312648966</v>
      </c>
      <c r="O141" s="22"/>
    </row>
    <row r="142" spans="1:15">
      <c r="A142" s="13"/>
      <c r="B142" s="1527"/>
      <c r="C142" s="1469"/>
      <c r="D142" s="569"/>
      <c r="E142" s="13"/>
      <c r="F142" s="9"/>
      <c r="G142" s="9"/>
      <c r="H142" s="9"/>
      <c r="I142" s="13"/>
      <c r="J142" s="1519"/>
      <c r="K142" s="1520"/>
      <c r="L142" s="75"/>
      <c r="M142" s="22"/>
      <c r="N142" s="11"/>
      <c r="O142" s="22"/>
    </row>
    <row r="143" spans="1:15" ht="14.25">
      <c r="A143" s="161"/>
      <c r="B143" s="162"/>
      <c r="C143" s="162"/>
      <c r="D143" s="162"/>
      <c r="E143" s="161"/>
      <c r="F143" s="163"/>
      <c r="G143" s="163"/>
      <c r="H143" s="1404" t="s">
        <v>792</v>
      </c>
      <c r="I143" s="3325" t="s">
        <v>528</v>
      </c>
      <c r="J143" s="3325"/>
      <c r="K143" s="3325"/>
      <c r="L143" s="1405">
        <f>L141</f>
        <v>17.606591481894881</v>
      </c>
      <c r="M143" s="22"/>
      <c r="N143" s="11"/>
      <c r="O143" s="22"/>
    </row>
    <row r="144" spans="1:15">
      <c r="A144" s="11"/>
      <c r="B144" s="11"/>
      <c r="C144" s="11"/>
      <c r="D144" s="22"/>
      <c r="E144" s="22"/>
      <c r="F144" s="45"/>
      <c r="G144" s="45"/>
      <c r="H144" s="60"/>
      <c r="I144" s="52"/>
      <c r="J144" s="22"/>
      <c r="K144" s="22"/>
      <c r="L144" s="65"/>
      <c r="M144" s="22"/>
      <c r="N144" s="22"/>
      <c r="O144" s="22"/>
    </row>
    <row r="145" spans="1:15">
      <c r="A145" s="11"/>
      <c r="B145" s="11"/>
      <c r="C145" s="11"/>
      <c r="D145" s="22"/>
      <c r="E145" s="22"/>
      <c r="F145" s="45"/>
      <c r="G145" s="45"/>
      <c r="H145" s="60"/>
      <c r="I145" s="52"/>
      <c r="J145" s="22"/>
      <c r="K145" s="22"/>
      <c r="L145" s="65"/>
      <c r="M145" s="22"/>
      <c r="N145" s="22"/>
      <c r="O145" s="22"/>
    </row>
    <row r="146" spans="1:15" ht="15.75">
      <c r="A146" s="168" t="s">
        <v>735</v>
      </c>
      <c r="B146" s="169"/>
      <c r="C146" s="169"/>
      <c r="D146" s="169"/>
      <c r="E146" s="3292" t="s">
        <v>805</v>
      </c>
      <c r="F146" s="3207"/>
      <c r="G146" s="3207"/>
      <c r="H146" s="3207"/>
      <c r="I146" s="3201" t="s">
        <v>572</v>
      </c>
      <c r="J146" s="3202"/>
      <c r="K146" s="3202"/>
      <c r="L146" s="3278">
        <f>L96+L117+L143</f>
        <v>53.075211087611301</v>
      </c>
      <c r="M146" s="22"/>
      <c r="N146" s="134" t="s">
        <v>789</v>
      </c>
      <c r="O146" s="11"/>
    </row>
    <row r="147" spans="1:15" ht="15.75">
      <c r="A147" s="175" t="s">
        <v>804</v>
      </c>
      <c r="B147" s="176"/>
      <c r="C147" s="176"/>
      <c r="D147" s="176"/>
      <c r="E147" s="3293"/>
      <c r="F147" s="3209"/>
      <c r="G147" s="3209"/>
      <c r="H147" s="3209"/>
      <c r="I147" s="3204"/>
      <c r="J147" s="3205"/>
      <c r="K147" s="3205"/>
      <c r="L147" s="3279"/>
      <c r="M147" s="22"/>
      <c r="N147" s="126" t="s">
        <v>561</v>
      </c>
      <c r="O147" s="11"/>
    </row>
    <row r="148" spans="1:15" ht="15.75">
      <c r="A148" s="1352"/>
      <c r="B148" s="1362"/>
      <c r="C148" s="1362"/>
      <c r="D148" s="1533"/>
      <c r="E148" s="1533"/>
      <c r="F148" s="3346" t="s">
        <v>550</v>
      </c>
      <c r="G148" s="3346"/>
      <c r="H148" s="3347"/>
      <c r="I148" s="1534">
        <f>L146</f>
        <v>53.075211087611301</v>
      </c>
      <c r="J148" s="1517" t="s">
        <v>547</v>
      </c>
      <c r="K148" s="1362"/>
      <c r="L148" s="1535"/>
      <c r="M148" s="22"/>
      <c r="N148" s="1323" t="s">
        <v>716</v>
      </c>
      <c r="O148" s="11"/>
    </row>
    <row r="149" spans="1:15" ht="15.75">
      <c r="A149" s="1482" t="s">
        <v>736</v>
      </c>
      <c r="B149" s="1483" t="s">
        <v>562</v>
      </c>
      <c r="C149" s="1352" t="s">
        <v>1479</v>
      </c>
      <c r="D149" s="1362"/>
      <c r="E149" s="1536" t="s">
        <v>573</v>
      </c>
      <c r="F149" s="1537">
        <f>1*1000*VLOOKUP($C149,'Standard values'!$C$9:$S$159,14, FALSE)</f>
        <v>37200</v>
      </c>
      <c r="G149" s="1537"/>
      <c r="H149" s="1538" t="s">
        <v>740</v>
      </c>
      <c r="I149" s="1539">
        <f>$I$148*F149/F$151</f>
        <v>50.769302138853071</v>
      </c>
      <c r="J149" s="1517" t="s">
        <v>547</v>
      </c>
      <c r="K149" s="1362"/>
      <c r="L149" s="1535"/>
      <c r="M149" s="22"/>
      <c r="N149" s="75"/>
      <c r="O149" s="11"/>
    </row>
    <row r="150" spans="1:15" ht="15.75">
      <c r="A150" s="2714" t="s">
        <v>1733</v>
      </c>
      <c r="B150" s="1483" t="s">
        <v>492</v>
      </c>
      <c r="C150" s="1352" t="s">
        <v>1441</v>
      </c>
      <c r="D150" s="1362"/>
      <c r="E150" s="1536" t="s">
        <v>489</v>
      </c>
      <c r="F150" s="1537">
        <f>C123*VLOOKUP($C150,'Standard values'!$C$9:$S$159,14, FALSE)</f>
        <v>1689.6</v>
      </c>
      <c r="G150" s="1537"/>
      <c r="H150" s="1538" t="s">
        <v>740</v>
      </c>
      <c r="I150" s="1539">
        <f>$I$148*F150/F$151</f>
        <v>2.3059089487582298</v>
      </c>
      <c r="J150" s="1517" t="s">
        <v>547</v>
      </c>
      <c r="K150" s="1362"/>
      <c r="L150" s="1535"/>
      <c r="M150" s="22"/>
      <c r="N150" s="75"/>
      <c r="O150" s="11"/>
    </row>
    <row r="151" spans="1:15">
      <c r="A151" s="1352"/>
      <c r="B151" s="1483" t="s">
        <v>490</v>
      </c>
      <c r="C151" s="1352" t="s">
        <v>933</v>
      </c>
      <c r="D151" s="1362"/>
      <c r="E151" s="1540" t="s">
        <v>739</v>
      </c>
      <c r="F151" s="1537">
        <f>SUM(F149:F150)</f>
        <v>38889.599999999999</v>
      </c>
      <c r="G151" s="1537"/>
      <c r="H151" s="1538" t="s">
        <v>740</v>
      </c>
      <c r="I151" s="1352"/>
      <c r="J151" s="1362"/>
      <c r="K151" s="1362"/>
      <c r="L151" s="1535"/>
      <c r="M151" s="22"/>
      <c r="N151" s="114"/>
      <c r="O151" s="11"/>
    </row>
    <row r="152" spans="1:15" ht="14.25">
      <c r="A152" s="161"/>
      <c r="B152" s="162"/>
      <c r="C152" s="162"/>
      <c r="D152" s="162"/>
      <c r="E152" s="1443" t="s">
        <v>742</v>
      </c>
      <c r="F152" s="163"/>
      <c r="G152" s="163"/>
      <c r="H152" s="184"/>
      <c r="I152" s="3325" t="s">
        <v>528</v>
      </c>
      <c r="J152" s="3325"/>
      <c r="K152" s="3325"/>
      <c r="L152" s="166">
        <f>I149</f>
        <v>50.769302138853071</v>
      </c>
      <c r="M152" s="22"/>
      <c r="N152" s="1325">
        <f>L152/$E$103</f>
        <v>1815.9788841974369</v>
      </c>
      <c r="O152" s="22"/>
    </row>
    <row r="153" spans="1:15">
      <c r="A153" s="11"/>
      <c r="B153" s="11"/>
      <c r="C153" s="11"/>
      <c r="D153" s="22"/>
      <c r="E153" s="22"/>
      <c r="F153" s="45"/>
      <c r="G153" s="45"/>
      <c r="H153" s="60"/>
      <c r="I153" s="52"/>
      <c r="J153" s="22"/>
      <c r="K153" s="22"/>
      <c r="L153" s="65"/>
      <c r="M153" s="22"/>
      <c r="N153" s="22"/>
      <c r="O153" s="22"/>
    </row>
    <row r="154" spans="1:15">
      <c r="A154" s="42"/>
      <c r="B154" s="53"/>
      <c r="C154" s="54"/>
      <c r="D154" s="11"/>
      <c r="E154" s="22"/>
      <c r="F154" s="22"/>
      <c r="G154" s="22"/>
      <c r="H154" s="22"/>
      <c r="I154" s="22"/>
      <c r="J154" s="59"/>
      <c r="K154" s="22"/>
      <c r="L154" s="22"/>
      <c r="M154" s="22"/>
      <c r="N154" s="22"/>
      <c r="O154" s="22"/>
    </row>
    <row r="155" spans="1:15" ht="15.75">
      <c r="A155" s="168" t="s">
        <v>1726</v>
      </c>
      <c r="B155" s="170" t="s">
        <v>803</v>
      </c>
      <c r="C155" s="169"/>
      <c r="D155" s="169"/>
      <c r="E155" s="3153" t="s">
        <v>800</v>
      </c>
      <c r="F155" s="3154"/>
      <c r="G155" s="3154"/>
      <c r="H155" s="3154"/>
      <c r="I155" s="3153" t="s">
        <v>788</v>
      </c>
      <c r="J155" s="3154"/>
      <c r="K155" s="3154"/>
      <c r="L155" s="3155"/>
      <c r="M155" s="22"/>
      <c r="N155" s="134" t="s">
        <v>789</v>
      </c>
      <c r="O155" s="22"/>
    </row>
    <row r="156" spans="1:15" ht="15.75">
      <c r="A156" s="1327" t="s">
        <v>562</v>
      </c>
      <c r="B156" s="10" t="s">
        <v>1479</v>
      </c>
      <c r="C156" s="423">
        <v>1</v>
      </c>
      <c r="D156" s="1148" t="s">
        <v>493</v>
      </c>
      <c r="E156" s="36">
        <f>E122*C156</f>
        <v>42790.945045880188</v>
      </c>
      <c r="F156" s="1148" t="s">
        <v>494</v>
      </c>
      <c r="G156" s="37"/>
      <c r="H156" s="84"/>
      <c r="I156" s="3156" t="s">
        <v>496</v>
      </c>
      <c r="J156" s="3144"/>
      <c r="K156" s="3144"/>
      <c r="L156" s="3145"/>
      <c r="M156" s="22"/>
      <c r="N156" s="126" t="s">
        <v>561</v>
      </c>
      <c r="O156" s="22"/>
    </row>
    <row r="157" spans="1:15" ht="15.75">
      <c r="A157" s="13"/>
      <c r="B157" s="9"/>
      <c r="C157" s="210"/>
      <c r="D157" s="9"/>
      <c r="E157" s="109">
        <f>E123*C156</f>
        <v>0.57844828987377617</v>
      </c>
      <c r="F157" s="1148" t="s">
        <v>515</v>
      </c>
      <c r="G157" s="79"/>
      <c r="H157" s="84"/>
      <c r="I157" s="1323" t="s">
        <v>709</v>
      </c>
      <c r="J157" s="1323" t="s">
        <v>710</v>
      </c>
      <c r="K157" s="1323" t="s">
        <v>711</v>
      </c>
      <c r="L157" s="1323" t="s">
        <v>716</v>
      </c>
      <c r="M157" s="22"/>
      <c r="N157" s="1323" t="s">
        <v>716</v>
      </c>
      <c r="O157" s="22"/>
    </row>
    <row r="158" spans="1:15">
      <c r="A158" s="72" t="s">
        <v>491</v>
      </c>
      <c r="B158" s="10" t="s">
        <v>1407</v>
      </c>
      <c r="C158" s="210"/>
      <c r="D158" s="9"/>
      <c r="E158" s="36"/>
      <c r="F158" s="9"/>
      <c r="G158" s="9"/>
      <c r="H158" s="9"/>
      <c r="I158" s="75"/>
      <c r="J158" s="75"/>
      <c r="K158" s="75"/>
      <c r="L158" s="75"/>
      <c r="M158" s="22"/>
      <c r="N158" s="75"/>
      <c r="O158" s="22"/>
    </row>
    <row r="159" spans="1:15" ht="15.75">
      <c r="A159" s="1208" t="s">
        <v>631</v>
      </c>
      <c r="B159" s="9" t="s">
        <v>1184</v>
      </c>
      <c r="C159" s="424">
        <f>2*150</f>
        <v>300</v>
      </c>
      <c r="D159" s="1148" t="s">
        <v>704</v>
      </c>
      <c r="E159" s="110">
        <f>(C159*E157/VLOOKUP($B156,'Standard values'!$C$9:$S$159,14, FALSE))/1000</f>
        <v>4.6649055634981947E-3</v>
      </c>
      <c r="F159" s="1148" t="s">
        <v>495</v>
      </c>
      <c r="G159" s="9"/>
      <c r="H159" s="9"/>
      <c r="I159" s="81">
        <f>$E159*VLOOKUP($B159,'Standard values'!$C$9:$S$159,15, FALSE)*VLOOKUP(C160,'Standard values'!$C$9:$S$159,7, FALSE)/$E$220</f>
        <v>0.71241935483870966</v>
      </c>
      <c r="J159" s="81">
        <f>$E159*((VLOOKUP($B159,'Standard values'!$C$9:$S$159,15, FALSE)*VLOOKUP(C160,'Standard values'!$C$9:$S$159,8, FALSE))+VLOOKUP($B159,'Standard values'!$C$9:$S$159,16, FALSE))/$E$220</f>
        <v>4.032258064516129E-5</v>
      </c>
      <c r="K159" s="81">
        <f>$E159*((VLOOKUP($B159,'Standard values'!$C$9:$S$159,15, FALSE)*VLOOKUP(C160,'Standard values'!$C$9:$S$159,9, FALSE))+VLOOKUP($B159,'Standard values'!$C$9:$S$159,17, FALSE))/$E$220</f>
        <v>0</v>
      </c>
      <c r="L159" s="106">
        <f>I159*'Standard values'!$D$10+J159*'Standard values'!$D$11+K159*'Standard values'!$D$12</f>
        <v>0.71342741935483867</v>
      </c>
      <c r="M159" s="22"/>
      <c r="N159" s="114">
        <f>L159/$E$103</f>
        <v>25.518750000000001</v>
      </c>
      <c r="O159" s="22"/>
    </row>
    <row r="160" spans="1:15">
      <c r="A160" s="1208" t="s">
        <v>703</v>
      </c>
      <c r="B160" s="29" t="s">
        <v>1374</v>
      </c>
      <c r="C160" s="425" t="s">
        <v>1413</v>
      </c>
      <c r="D160" s="9"/>
      <c r="E160" s="13"/>
      <c r="F160" s="9"/>
      <c r="G160" s="9"/>
      <c r="H160" s="9"/>
      <c r="I160" s="81"/>
      <c r="J160" s="81"/>
      <c r="K160" s="81"/>
      <c r="L160" s="106"/>
      <c r="M160" s="22"/>
      <c r="N160" s="114"/>
      <c r="O160" s="22"/>
    </row>
    <row r="161" spans="1:15">
      <c r="A161" s="13"/>
      <c r="B161" s="9"/>
      <c r="C161" s="210"/>
      <c r="D161" s="9"/>
      <c r="E161" s="110"/>
      <c r="F161" s="9"/>
      <c r="G161" s="9"/>
      <c r="H161" s="9"/>
      <c r="I161" s="81"/>
      <c r="J161" s="81"/>
      <c r="K161" s="81"/>
      <c r="L161" s="106"/>
      <c r="M161" s="22"/>
      <c r="N161" s="114"/>
      <c r="O161" s="22"/>
    </row>
    <row r="162" spans="1:15">
      <c r="A162" s="1207" t="s">
        <v>632</v>
      </c>
      <c r="B162" s="10" t="s">
        <v>1457</v>
      </c>
      <c r="C162" s="210"/>
      <c r="D162" s="9"/>
      <c r="E162" s="13"/>
      <c r="F162" s="9"/>
      <c r="G162" s="9"/>
      <c r="H162" s="9"/>
      <c r="I162" s="81"/>
      <c r="J162" s="81"/>
      <c r="K162" s="81"/>
      <c r="L162" s="81"/>
      <c r="M162" s="22"/>
      <c r="N162" s="114"/>
      <c r="O162" s="22"/>
    </row>
    <row r="163" spans="1:15" ht="27">
      <c r="A163" s="2701" t="s">
        <v>1698</v>
      </c>
      <c r="B163" s="9" t="s">
        <v>1371</v>
      </c>
      <c r="C163" s="424">
        <v>8.4000000000000003E-4</v>
      </c>
      <c r="D163" s="1148" t="s">
        <v>570</v>
      </c>
      <c r="E163" s="13"/>
      <c r="F163" s="9"/>
      <c r="G163" s="9"/>
      <c r="H163" s="9"/>
      <c r="I163" s="81">
        <f>$C163*$E$157*VLOOKUP($B163,'Standard values'!$C$9:$S$159,7, FALSE)/$E$220</f>
        <v>0.10146738000000001</v>
      </c>
      <c r="J163" s="81">
        <f>$C163*$E$157*VLOOKUP($B163,'Standard values'!$C$9:$S$159,8, FALSE)/$E$220</f>
        <v>2.4744999999999997E-4</v>
      </c>
      <c r="K163" s="81">
        <f>$C163*$E$157*VLOOKUP($B163,'Standard values'!$C$9:$S$159,9, FALSE)/$E$220</f>
        <v>4.596666666666667E-6</v>
      </c>
      <c r="L163" s="106">
        <f>I163*'Standard values'!$D$10+J163*'Standard values'!$D$11+K163*'Standard values'!$D$12</f>
        <v>0.10902343666666668</v>
      </c>
      <c r="M163" s="22"/>
      <c r="N163" s="114">
        <f>L163/$E$103</f>
        <v>3.8996844653846163</v>
      </c>
      <c r="O163" s="22"/>
    </row>
    <row r="164" spans="1:15" ht="14.25">
      <c r="A164" s="161"/>
      <c r="B164" s="162"/>
      <c r="C164" s="162"/>
      <c r="D164" s="162"/>
      <c r="E164" s="161"/>
      <c r="F164" s="163"/>
      <c r="G164" s="163"/>
      <c r="H164" s="1404" t="s">
        <v>792</v>
      </c>
      <c r="I164" s="3325" t="s">
        <v>528</v>
      </c>
      <c r="J164" s="3325"/>
      <c r="K164" s="3325"/>
      <c r="L164" s="1541">
        <f>L163+L159</f>
        <v>0.82245085602150536</v>
      </c>
      <c r="M164" s="22"/>
      <c r="N164" s="1325">
        <f>L164/$E$103</f>
        <v>29.418434465384617</v>
      </c>
      <c r="O164" s="22"/>
    </row>
    <row r="165" spans="1:15">
      <c r="A165" s="11"/>
      <c r="B165" s="11"/>
      <c r="C165" s="11"/>
      <c r="D165" s="11"/>
      <c r="E165" s="11"/>
      <c r="F165" s="43"/>
      <c r="G165" s="43"/>
      <c r="H165" s="43"/>
      <c r="I165" s="11"/>
      <c r="J165" s="44"/>
      <c r="K165" s="45"/>
      <c r="L165" s="46"/>
      <c r="M165" s="22"/>
      <c r="N165" s="11"/>
      <c r="O165" s="22"/>
    </row>
    <row r="166" spans="1:15">
      <c r="A166" s="11"/>
      <c r="B166" s="11"/>
      <c r="C166" s="11"/>
      <c r="D166" s="11"/>
      <c r="E166" s="11"/>
      <c r="F166" s="43"/>
      <c r="G166" s="43"/>
      <c r="H166" s="43"/>
      <c r="I166" s="11"/>
      <c r="J166" s="44"/>
      <c r="K166" s="45"/>
      <c r="L166" s="46"/>
      <c r="M166" s="22"/>
      <c r="N166" s="22"/>
      <c r="O166" s="22"/>
    </row>
    <row r="167" spans="1:15" ht="15.75">
      <c r="A167" s="168" t="s">
        <v>806</v>
      </c>
      <c r="B167" s="169"/>
      <c r="C167" s="169"/>
      <c r="D167" s="169"/>
      <c r="E167" s="3153" t="s">
        <v>800</v>
      </c>
      <c r="F167" s="3154"/>
      <c r="G167" s="3154"/>
      <c r="H167" s="3154"/>
      <c r="I167" s="3348" t="s">
        <v>788</v>
      </c>
      <c r="J167" s="3348"/>
      <c r="K167" s="3348"/>
      <c r="L167" s="3348"/>
      <c r="M167" s="22"/>
      <c r="N167" s="134" t="s">
        <v>789</v>
      </c>
      <c r="O167" s="22"/>
    </row>
    <row r="168" spans="1:15" ht="15.75">
      <c r="A168" s="3236" t="s">
        <v>807</v>
      </c>
      <c r="B168" s="3280"/>
      <c r="C168" s="423">
        <v>1</v>
      </c>
      <c r="D168" s="1148" t="s">
        <v>493</v>
      </c>
      <c r="E168" s="36">
        <f>E156*C168</f>
        <v>42790.945045880188</v>
      </c>
      <c r="F168" s="37" t="s">
        <v>1116</v>
      </c>
      <c r="G168" s="37"/>
      <c r="H168" s="9"/>
      <c r="I168" s="3350" t="s">
        <v>497</v>
      </c>
      <c r="J168" s="3351"/>
      <c r="K168" s="3351"/>
      <c r="L168" s="3352"/>
      <c r="M168" s="22"/>
      <c r="N168" s="126" t="s">
        <v>561</v>
      </c>
      <c r="O168" s="22"/>
    </row>
    <row r="169" spans="1:15" ht="15.75">
      <c r="A169" s="13"/>
      <c r="B169" s="9"/>
      <c r="C169" s="210"/>
      <c r="D169" s="9"/>
      <c r="E169" s="109">
        <f>E157*C168</f>
        <v>0.57844828987377617</v>
      </c>
      <c r="F169" s="79" t="s">
        <v>1109</v>
      </c>
      <c r="G169" s="79"/>
      <c r="H169" s="9"/>
      <c r="I169" s="1542" t="s">
        <v>1453</v>
      </c>
      <c r="J169" s="1542" t="s">
        <v>1454</v>
      </c>
      <c r="K169" s="1542" t="s">
        <v>1455</v>
      </c>
      <c r="L169" s="1542" t="s">
        <v>1456</v>
      </c>
      <c r="M169" s="22"/>
      <c r="N169" s="1323" t="s">
        <v>716</v>
      </c>
      <c r="O169" s="22"/>
    </row>
    <row r="170" spans="1:15">
      <c r="A170" s="1207" t="s">
        <v>632</v>
      </c>
      <c r="B170" s="10" t="s">
        <v>1429</v>
      </c>
      <c r="C170" s="210"/>
      <c r="D170" s="9"/>
      <c r="E170" s="13"/>
      <c r="F170" s="9"/>
      <c r="G170" s="9"/>
      <c r="H170" s="9"/>
      <c r="I170" s="1543"/>
      <c r="J170" s="1543"/>
      <c r="K170" s="1543"/>
      <c r="L170" s="1543"/>
      <c r="M170" s="22"/>
      <c r="N170" s="75"/>
      <c r="O170" s="22"/>
    </row>
    <row r="171" spans="1:15" ht="27">
      <c r="A171" s="2701" t="s">
        <v>1698</v>
      </c>
      <c r="B171" s="9" t="s">
        <v>1371</v>
      </c>
      <c r="C171" s="424">
        <v>3.3999999999999998E-3</v>
      </c>
      <c r="D171" s="1148" t="s">
        <v>570</v>
      </c>
      <c r="E171" s="13"/>
      <c r="F171" s="9"/>
      <c r="G171" s="9"/>
      <c r="H171" s="9"/>
      <c r="I171" s="1543">
        <f>$C171*$E$157*VLOOKUP($B171,'Standard values'!$C$9:$S$159,7, FALSE)/$E$220</f>
        <v>0.41070129999999999</v>
      </c>
      <c r="J171" s="1543">
        <f>$C171*$E$157*VLOOKUP($B171,'Standard values'!$C$9:$S$159,8, FALSE)/$E$220</f>
        <v>1.0015833333333333E-3</v>
      </c>
      <c r="K171" s="1543">
        <f>$C171*$E$157*VLOOKUP($B171,'Standard values'!$C$9:$S$159,9, FALSE)/$E$220</f>
        <v>1.8605555555555555E-5</v>
      </c>
      <c r="L171" s="1151">
        <f>I171*'Standard values'!$D$10+J171*'Standard values'!$D$11+K171*'Standard values'!$D$12</f>
        <v>0.44128533888888888</v>
      </c>
      <c r="M171" s="22"/>
      <c r="N171" s="1325">
        <f>L171/$E$103</f>
        <v>15.784437121794873</v>
      </c>
      <c r="O171" s="22"/>
    </row>
    <row r="172" spans="1:15" ht="14.25">
      <c r="A172" s="161"/>
      <c r="B172" s="162"/>
      <c r="C172" s="162"/>
      <c r="D172" s="162"/>
      <c r="E172" s="161"/>
      <c r="F172" s="163"/>
      <c r="G172" s="163"/>
      <c r="H172" s="1404" t="s">
        <v>792</v>
      </c>
      <c r="I172" s="3325" t="s">
        <v>528</v>
      </c>
      <c r="J172" s="3325"/>
      <c r="K172" s="3325"/>
      <c r="L172" s="1405">
        <f>L171</f>
        <v>0.44128533888888888</v>
      </c>
      <c r="M172" s="22"/>
      <c r="N172" s="11"/>
      <c r="O172" s="22"/>
    </row>
    <row r="173" spans="1:15">
      <c r="A173" s="11"/>
      <c r="B173" s="11"/>
      <c r="C173" s="11"/>
      <c r="D173" s="11"/>
      <c r="E173" s="11"/>
      <c r="F173" s="43"/>
      <c r="G173" s="43"/>
      <c r="H173" s="43"/>
      <c r="I173" s="11"/>
      <c r="J173" s="44"/>
      <c r="K173" s="45"/>
      <c r="L173" s="66"/>
      <c r="M173" s="22"/>
      <c r="N173" s="11"/>
      <c r="O173" s="22"/>
    </row>
    <row r="174" spans="1:15">
      <c r="A174" s="11"/>
      <c r="B174" s="11"/>
      <c r="C174" s="11"/>
      <c r="D174" s="11"/>
      <c r="E174" s="11"/>
      <c r="F174" s="43"/>
      <c r="G174" s="43"/>
      <c r="H174" s="43"/>
      <c r="I174" s="11"/>
      <c r="J174" s="44"/>
      <c r="K174" s="45"/>
      <c r="L174" s="66"/>
      <c r="M174" s="22"/>
      <c r="N174" s="22"/>
      <c r="O174" s="22"/>
    </row>
    <row r="175" spans="1:15" ht="15.75">
      <c r="A175" s="168" t="s">
        <v>1699</v>
      </c>
      <c r="B175" s="180"/>
      <c r="C175" s="181"/>
      <c r="D175" s="169"/>
      <c r="E175" s="182"/>
      <c r="F175" s="169"/>
      <c r="G175" s="169"/>
      <c r="H175" s="169"/>
      <c r="I175" s="169"/>
      <c r="J175" s="169"/>
      <c r="K175" s="169"/>
      <c r="L175" s="183"/>
      <c r="M175" s="22"/>
      <c r="N175" s="22"/>
      <c r="O175" s="22"/>
    </row>
    <row r="176" spans="1:15" ht="15.75">
      <c r="A176" s="86"/>
      <c r="B176" s="549" t="s">
        <v>1193</v>
      </c>
      <c r="C176" s="10" t="s">
        <v>642</v>
      </c>
      <c r="D176" s="9"/>
      <c r="E176" s="13"/>
      <c r="F176" s="9"/>
      <c r="G176" s="9"/>
      <c r="H176" s="9"/>
      <c r="I176" s="9"/>
      <c r="J176" s="9"/>
      <c r="K176" s="9"/>
      <c r="L176" s="73"/>
      <c r="M176" s="22"/>
      <c r="N176" s="11"/>
      <c r="O176" s="11"/>
    </row>
    <row r="177" spans="1:15" ht="15.75">
      <c r="A177" s="86"/>
      <c r="B177" s="10"/>
      <c r="C177" s="17"/>
      <c r="D177" s="545" t="s">
        <v>747</v>
      </c>
      <c r="E177" s="546" t="str">
        <f>IF(D179="Yes","From :  ", " ")</f>
        <v xml:space="preserve"> </v>
      </c>
      <c r="F177" s="3151" t="str">
        <f>IF(D179="Yes",'LUC (EnVer)'!H$35 &amp; " ; " &amp; 'LUC (EnVer)'!H$36 &amp; " ; " &amp; 'LUC (EnVer)'!H$39 &amp; " ; " &amp; 'LUC (EnVer)'!H$40 &amp; " ; " &amp; 'LUC (EnVer)'!H$45 &amp; " ; " &amp; 'LUC (EnVer)'!H$46 &amp; " ; " &amp; 'LUC (EnVer)'!H$47, " ")</f>
        <v xml:space="preserve"> </v>
      </c>
      <c r="G177" s="3151"/>
      <c r="H177" s="3151"/>
      <c r="I177" s="3151"/>
      <c r="J177" s="3151"/>
      <c r="K177" s="3151"/>
      <c r="L177" s="3152"/>
      <c r="M177" s="22"/>
      <c r="N177" s="11"/>
      <c r="O177" s="11"/>
    </row>
    <row r="178" spans="1:15">
      <c r="A178" s="3349" t="s">
        <v>605</v>
      </c>
      <c r="B178" s="3346"/>
      <c r="C178" s="580" t="s">
        <v>747</v>
      </c>
      <c r="D178" s="545" t="s">
        <v>748</v>
      </c>
      <c r="E178" s="36"/>
      <c r="F178" s="3151"/>
      <c r="G178" s="3151"/>
      <c r="H178" s="3151"/>
      <c r="I178" s="3151"/>
      <c r="J178" s="3151"/>
      <c r="K178" s="3151"/>
      <c r="L178" s="3152"/>
      <c r="M178" s="22"/>
      <c r="N178" s="11"/>
      <c r="O178" s="11"/>
    </row>
    <row r="179" spans="1:15" ht="15.75">
      <c r="A179" s="86"/>
      <c r="B179" s="10"/>
      <c r="C179" s="552" t="str">
        <f>IF(D179="Yes","Go to", " ")</f>
        <v xml:space="preserve"> </v>
      </c>
      <c r="D179" s="545" t="s">
        <v>748</v>
      </c>
      <c r="E179" s="546" t="str">
        <f>IF(D179="Yes","To    :   ", " ")</f>
        <v xml:space="preserve"> </v>
      </c>
      <c r="F179" s="3186" t="str">
        <f>IF(D179="Yes", 'LUC (EnVer)'!D$35 &amp; " ; " &amp; 'LUC (EnVer)'!D$36 &amp; " ; " &amp; 'LUC (EnVer)'!D$39 &amp; " ; " &amp; 'LUC (EnVer)'!D$40 &amp; " ; " &amp; 'LUC (EnVer)'!D$45 &amp; " ; " &amp; 'LUC (EnVer)'!D$46 &amp; " ; " &amp; 'LUC (EnVer)'!D$47, " ")</f>
        <v xml:space="preserve"> </v>
      </c>
      <c r="G179" s="3186"/>
      <c r="H179" s="3186"/>
      <c r="I179" s="3186"/>
      <c r="J179" s="3186"/>
      <c r="K179" s="3186"/>
      <c r="L179" s="3187"/>
      <c r="M179" s="22"/>
      <c r="N179" s="11"/>
      <c r="O179" s="11"/>
    </row>
    <row r="180" spans="1:15" ht="15.75">
      <c r="A180" s="86"/>
      <c r="B180" s="21"/>
      <c r="C180" s="551" t="str">
        <f>IF(D179="Yes","sheet 'LUC' ", " ")</f>
        <v xml:space="preserve"> </v>
      </c>
      <c r="D180" s="9"/>
      <c r="E180" s="547"/>
      <c r="F180" s="3186"/>
      <c r="G180" s="3186"/>
      <c r="H180" s="3186"/>
      <c r="I180" s="3186"/>
      <c r="J180" s="3186"/>
      <c r="K180" s="3186"/>
      <c r="L180" s="3187"/>
      <c r="M180" s="22"/>
      <c r="N180" s="11"/>
      <c r="O180" s="11"/>
    </row>
    <row r="181" spans="1:15" ht="15.75">
      <c r="A181" s="86"/>
      <c r="B181" s="21"/>
      <c r="C181" s="552" t="str">
        <f>IF(D179="Yes","to calculate the land use change", " ")</f>
        <v xml:space="preserve"> </v>
      </c>
      <c r="D181" s="9"/>
      <c r="E181" s="547"/>
      <c r="F181" s="532"/>
      <c r="G181" s="532"/>
      <c r="H181" s="532"/>
      <c r="I181" s="3144" t="s">
        <v>498</v>
      </c>
      <c r="J181" s="3144"/>
      <c r="K181" s="3144"/>
      <c r="L181" s="3145"/>
      <c r="M181" s="22"/>
      <c r="N181" s="11"/>
      <c r="O181" s="11"/>
    </row>
    <row r="182" spans="1:15" ht="16.5">
      <c r="A182" s="86"/>
      <c r="B182" s="21"/>
      <c r="C182" s="552"/>
      <c r="D182" s="9"/>
      <c r="E182" s="547"/>
      <c r="F182" s="532"/>
      <c r="G182" s="532"/>
      <c r="H182" s="532"/>
      <c r="I182" s="553" t="s">
        <v>1453</v>
      </c>
      <c r="J182" s="553" t="s">
        <v>1454</v>
      </c>
      <c r="K182" s="553" t="s">
        <v>1455</v>
      </c>
      <c r="L182" s="74" t="s">
        <v>1456</v>
      </c>
      <c r="M182" s="22"/>
      <c r="N182" s="11"/>
      <c r="O182" s="11"/>
    </row>
    <row r="183" spans="1:15" ht="16.5">
      <c r="A183" s="86"/>
      <c r="B183" s="1291" t="s">
        <v>606</v>
      </c>
      <c r="C183" s="548">
        <f>IF(D179="Yes",'LUC (EnVer)'!$J$82,0)</f>
        <v>0</v>
      </c>
      <c r="D183" s="1206" t="s">
        <v>648</v>
      </c>
      <c r="E183" s="13"/>
      <c r="F183" s="9"/>
      <c r="G183" s="9"/>
      <c r="H183" s="9"/>
      <c r="I183" s="1235">
        <f>$C183*1000000/$E$219</f>
        <v>0</v>
      </c>
      <c r="J183" s="1235">
        <v>0</v>
      </c>
      <c r="K183" s="1235">
        <v>0</v>
      </c>
      <c r="L183" s="1464">
        <f>I183*'Standard values'!$D$10+J183*'Standard values'!$D$11+K183*'Standard values'!$D$12</f>
        <v>0</v>
      </c>
      <c r="M183" s="22"/>
      <c r="N183" s="11"/>
      <c r="O183" s="11"/>
    </row>
    <row r="184" spans="1:15" ht="15.75">
      <c r="A184" s="86"/>
      <c r="B184" s="21"/>
      <c r="C184" s="19"/>
      <c r="D184" s="9"/>
      <c r="E184" s="13"/>
      <c r="F184" s="9"/>
      <c r="G184" s="9"/>
      <c r="H184" s="9"/>
      <c r="I184" s="1235"/>
      <c r="J184" s="1235"/>
      <c r="K184" s="1235"/>
      <c r="L184" s="106"/>
      <c r="M184" s="22"/>
      <c r="N184" s="11"/>
      <c r="O184" s="11"/>
    </row>
    <row r="185" spans="1:15" ht="15.75">
      <c r="A185" s="13"/>
      <c r="B185" s="2690" t="s">
        <v>1700</v>
      </c>
      <c r="C185" s="424">
        <v>0</v>
      </c>
      <c r="D185" s="1206" t="s">
        <v>607</v>
      </c>
      <c r="E185" s="13"/>
      <c r="F185" s="9"/>
      <c r="G185" s="9"/>
      <c r="H185" s="9"/>
      <c r="I185" s="1235">
        <f>-C185</f>
        <v>0</v>
      </c>
      <c r="J185" s="1235">
        <v>0</v>
      </c>
      <c r="K185" s="1235">
        <v>0</v>
      </c>
      <c r="L185" s="1464">
        <f>I185*'Standard values'!$D$10+J185*'Standard values'!$D$11+K185*'Standard values'!$D$12</f>
        <v>0</v>
      </c>
      <c r="M185" s="22"/>
      <c r="N185" s="11"/>
      <c r="O185" s="11"/>
    </row>
    <row r="186" spans="1:15">
      <c r="A186" s="13"/>
      <c r="B186" s="41" t="str">
        <f>IF(C185=-29,"Year of conversion:","")</f>
        <v/>
      </c>
      <c r="C186" s="640"/>
      <c r="D186" s="87" t="str">
        <f>IF(C185=-29,"Fill in the year of conversion","")</f>
        <v/>
      </c>
      <c r="E186" s="13"/>
      <c r="F186" s="9"/>
      <c r="G186" s="9"/>
      <c r="H186" s="9"/>
      <c r="I186" s="13"/>
      <c r="J186" s="13"/>
      <c r="K186" s="1235"/>
      <c r="L186" s="106">
        <f>SUM(L183:L185)</f>
        <v>0</v>
      </c>
      <c r="M186" s="22"/>
      <c r="N186" s="11"/>
      <c r="O186" s="11"/>
    </row>
    <row r="187" spans="1:15">
      <c r="A187" s="13"/>
      <c r="B187" s="41"/>
      <c r="C187" s="41"/>
      <c r="D187" s="87"/>
      <c r="E187" s="13"/>
      <c r="F187" s="9"/>
      <c r="G187" s="9"/>
      <c r="H187" s="9"/>
      <c r="I187" s="13"/>
      <c r="J187" s="13"/>
      <c r="K187" s="1235"/>
      <c r="L187" s="106"/>
      <c r="M187" s="22"/>
      <c r="N187" s="11"/>
      <c r="O187" s="11"/>
    </row>
    <row r="188" spans="1:15" ht="14.25">
      <c r="A188" s="161"/>
      <c r="B188" s="162"/>
      <c r="C188" s="162"/>
      <c r="D188" s="162"/>
      <c r="E188" s="161"/>
      <c r="F188" s="163"/>
      <c r="G188" s="163"/>
      <c r="H188" s="1404" t="s">
        <v>792</v>
      </c>
      <c r="I188" s="3325" t="s">
        <v>743</v>
      </c>
      <c r="J188" s="3325"/>
      <c r="K188" s="3325"/>
      <c r="L188" s="1405">
        <f>L186</f>
        <v>0</v>
      </c>
      <c r="M188" s="22"/>
      <c r="N188" s="11"/>
      <c r="O188" s="11"/>
    </row>
    <row r="189" spans="1:15">
      <c r="A189" s="11"/>
      <c r="B189" s="11"/>
      <c r="C189" s="11"/>
      <c r="D189" s="11"/>
      <c r="E189" s="11"/>
      <c r="F189" s="43"/>
      <c r="G189" s="43"/>
      <c r="H189" s="43"/>
      <c r="I189" s="11"/>
      <c r="J189" s="44"/>
      <c r="K189" s="45"/>
      <c r="L189" s="67"/>
      <c r="M189" s="22"/>
      <c r="N189" s="11"/>
      <c r="O189" s="11"/>
    </row>
    <row r="190" spans="1:15">
      <c r="A190" s="11"/>
      <c r="B190" s="11"/>
      <c r="C190" s="11"/>
      <c r="D190" s="11"/>
      <c r="E190" s="11"/>
      <c r="F190" s="43"/>
      <c r="G190" s="43"/>
      <c r="H190" s="43"/>
      <c r="I190" s="11"/>
      <c r="J190" s="44"/>
      <c r="K190" s="45"/>
      <c r="L190" s="67"/>
      <c r="M190" s="22"/>
      <c r="N190" s="11"/>
      <c r="O190" s="11"/>
    </row>
    <row r="191" spans="1:15" ht="15.75">
      <c r="A191" s="168" t="s">
        <v>645</v>
      </c>
      <c r="B191" s="180"/>
      <c r="C191" s="181"/>
      <c r="D191" s="169"/>
      <c r="E191" s="182"/>
      <c r="F191" s="169"/>
      <c r="G191" s="169"/>
      <c r="H191" s="169"/>
      <c r="I191" s="169"/>
      <c r="J191" s="169"/>
      <c r="K191" s="169"/>
      <c r="L191" s="183"/>
      <c r="M191" s="22"/>
      <c r="N191" s="11"/>
      <c r="O191" s="11"/>
    </row>
    <row r="192" spans="1:15" ht="15.75">
      <c r="A192" s="86"/>
      <c r="B192" s="21" t="s">
        <v>1192</v>
      </c>
      <c r="C192" s="19" t="s">
        <v>646</v>
      </c>
      <c r="D192" s="89"/>
      <c r="E192" s="13"/>
      <c r="F192" s="9"/>
      <c r="G192" s="9"/>
      <c r="H192" s="9"/>
      <c r="I192" s="3144"/>
      <c r="J192" s="3144"/>
      <c r="K192" s="3144"/>
      <c r="L192" s="3145"/>
      <c r="M192" s="22"/>
      <c r="N192" s="11"/>
      <c r="O192" s="11"/>
    </row>
    <row r="193" spans="1:15" ht="15.75" customHeight="1">
      <c r="A193" s="86"/>
      <c r="B193" s="10"/>
      <c r="C193" s="17"/>
      <c r="D193" s="545" t="s">
        <v>747</v>
      </c>
      <c r="E193" s="546" t="str">
        <f>IF(D195="Yes","From :  ", " ")</f>
        <v xml:space="preserve"> </v>
      </c>
      <c r="F193" s="3151" t="str">
        <f>IF(D195="Yes",'Esca (EnVer)'!H$42 &amp; ", " &amp; 'Esca (EnVer)'!H$43 &amp; " input ","")</f>
        <v/>
      </c>
      <c r="G193" s="3151"/>
      <c r="H193" s="3151"/>
      <c r="I193" s="3151"/>
      <c r="J193" s="3151"/>
      <c r="K193" s="3151"/>
      <c r="L193" s="3152"/>
      <c r="M193" s="22"/>
      <c r="N193" s="11"/>
      <c r="O193" s="11"/>
    </row>
    <row r="194" spans="1:15">
      <c r="A194" s="3353" t="s">
        <v>647</v>
      </c>
      <c r="B194" s="3354"/>
      <c r="C194" s="17"/>
      <c r="D194" s="545" t="s">
        <v>748</v>
      </c>
      <c r="E194" s="36"/>
      <c r="F194" s="3151"/>
      <c r="G194" s="3151"/>
      <c r="H194" s="3151"/>
      <c r="I194" s="3151"/>
      <c r="J194" s="3151"/>
      <c r="K194" s="3151"/>
      <c r="L194" s="3152"/>
      <c r="M194" s="22"/>
      <c r="N194" s="11"/>
      <c r="O194" s="11"/>
    </row>
    <row r="195" spans="1:15" ht="15.75" customHeight="1">
      <c r="A195" s="86"/>
      <c r="B195" s="10"/>
      <c r="C195" s="552" t="str">
        <f>IF(D195="Yes","Go to", " ")</f>
        <v xml:space="preserve"> </v>
      </c>
      <c r="D195" s="545" t="s">
        <v>748</v>
      </c>
      <c r="E195" s="546" t="str">
        <f>IF(D195="Yes","To    :   ", " ")</f>
        <v xml:space="preserve"> </v>
      </c>
      <c r="F195" s="3151" t="str">
        <f>IF(D195="Yes",'Esca (EnVer)'!D$42 &amp; ", " &amp; 'Esca (EnVer)'!D$43 &amp; " input ","")</f>
        <v/>
      </c>
      <c r="G195" s="3151"/>
      <c r="H195" s="3151"/>
      <c r="I195" s="3151"/>
      <c r="J195" s="3151"/>
      <c r="K195" s="3151"/>
      <c r="L195" s="3152"/>
      <c r="M195" s="22"/>
      <c r="N195" s="11"/>
      <c r="O195" s="11"/>
    </row>
    <row r="196" spans="1:15" ht="15.75">
      <c r="A196" s="86"/>
      <c r="B196" s="21"/>
      <c r="C196" s="551" t="str">
        <f>IF(D195="Yes","sheet 'Esca' ", " ")</f>
        <v xml:space="preserve"> </v>
      </c>
      <c r="D196" s="9"/>
      <c r="E196" s="547"/>
      <c r="F196" s="3151"/>
      <c r="G196" s="3151"/>
      <c r="H196" s="3151"/>
      <c r="I196" s="3151"/>
      <c r="J196" s="3151"/>
      <c r="K196" s="3151"/>
      <c r="L196" s="3152"/>
      <c r="M196" s="22"/>
      <c r="N196" s="11"/>
      <c r="O196" s="11"/>
    </row>
    <row r="197" spans="1:15" ht="15.75">
      <c r="A197" s="86"/>
      <c r="B197" s="21"/>
      <c r="C197" s="552" t="str">
        <f>IF(D195="Yes","to calculate the soil carbon accumulation", " ")</f>
        <v xml:space="preserve"> </v>
      </c>
      <c r="D197" s="9"/>
      <c r="E197" s="547"/>
      <c r="F197" s="532"/>
      <c r="G197" s="532"/>
      <c r="H197" s="532"/>
      <c r="I197" s="3156" t="s">
        <v>633</v>
      </c>
      <c r="J197" s="3144"/>
      <c r="K197" s="3144"/>
      <c r="L197" s="3145"/>
      <c r="M197" s="22"/>
      <c r="N197" s="11"/>
      <c r="O197" s="11"/>
    </row>
    <row r="198" spans="1:15" ht="16.5">
      <c r="A198" s="86"/>
      <c r="B198" s="21"/>
      <c r="C198" s="552"/>
      <c r="D198" s="9"/>
      <c r="E198" s="547"/>
      <c r="F198" s="532"/>
      <c r="G198" s="532"/>
      <c r="H198" s="532"/>
      <c r="I198" s="553" t="s">
        <v>1453</v>
      </c>
      <c r="J198" s="553" t="s">
        <v>1454</v>
      </c>
      <c r="K198" s="553" t="s">
        <v>1455</v>
      </c>
      <c r="L198" s="74" t="s">
        <v>1456</v>
      </c>
      <c r="M198" s="22"/>
      <c r="N198" s="11"/>
      <c r="O198" s="11"/>
    </row>
    <row r="199" spans="1:15" ht="16.5">
      <c r="A199" s="86"/>
      <c r="B199" s="2691" t="s">
        <v>1702</v>
      </c>
      <c r="C199" s="548">
        <f>IF(D195="yes",'Esca (EnVer)'!$J$77,0)</f>
        <v>0</v>
      </c>
      <c r="D199" s="1206" t="s">
        <v>648</v>
      </c>
      <c r="E199" s="13"/>
      <c r="F199" s="9"/>
      <c r="G199" s="9"/>
      <c r="H199" s="9"/>
      <c r="I199" s="1235">
        <f>$C199*1000000/$E$219</f>
        <v>0</v>
      </c>
      <c r="J199" s="1235">
        <v>0</v>
      </c>
      <c r="K199" s="1235">
        <v>0</v>
      </c>
      <c r="L199" s="1464">
        <f>I199*'Standard values'!$D$10+J199*'Standard values'!$D$11+K199*'Standard values'!$D$12</f>
        <v>0</v>
      </c>
      <c r="M199" s="22"/>
      <c r="N199" s="11"/>
      <c r="O199" s="11"/>
    </row>
    <row r="200" spans="1:15">
      <c r="A200" s="13"/>
      <c r="B200" s="41"/>
      <c r="C200" s="41"/>
      <c r="D200" s="87"/>
      <c r="E200" s="13"/>
      <c r="F200" s="9"/>
      <c r="G200" s="9"/>
      <c r="H200" s="9"/>
      <c r="I200" s="13"/>
      <c r="J200" s="13"/>
      <c r="K200" s="1235"/>
      <c r="L200" s="106">
        <f>SUM(L199:L199)</f>
        <v>0</v>
      </c>
      <c r="M200" s="22"/>
      <c r="N200" s="11"/>
      <c r="O200" s="11"/>
    </row>
    <row r="201" spans="1:15">
      <c r="A201" s="13"/>
      <c r="B201" s="41"/>
      <c r="C201" s="41"/>
      <c r="D201" s="87"/>
      <c r="E201" s="13"/>
      <c r="F201" s="9"/>
      <c r="G201" s="9"/>
      <c r="H201" s="9"/>
      <c r="I201" s="13"/>
      <c r="J201" s="1519"/>
      <c r="K201" s="1549"/>
      <c r="L201" s="106"/>
      <c r="M201" s="22"/>
      <c r="N201" s="11"/>
      <c r="O201" s="11"/>
    </row>
    <row r="202" spans="1:15" ht="14.25">
      <c r="A202" s="161"/>
      <c r="B202" s="162"/>
      <c r="C202" s="162"/>
      <c r="D202" s="162"/>
      <c r="E202" s="161"/>
      <c r="F202" s="163"/>
      <c r="G202" s="163"/>
      <c r="H202" s="1548" t="s">
        <v>792</v>
      </c>
      <c r="I202" s="3325" t="s">
        <v>743</v>
      </c>
      <c r="J202" s="3325"/>
      <c r="K202" s="3340"/>
      <c r="L202" s="1550">
        <f>L200</f>
        <v>0</v>
      </c>
      <c r="M202" s="22"/>
      <c r="N202" s="11"/>
      <c r="O202" s="11"/>
    </row>
    <row r="203" spans="1:15">
      <c r="A203" s="11"/>
      <c r="B203" s="11"/>
      <c r="C203" s="11"/>
      <c r="D203" s="11"/>
      <c r="E203" s="11"/>
      <c r="F203" s="43"/>
      <c r="G203" s="43"/>
      <c r="H203" s="43"/>
      <c r="I203" s="11"/>
      <c r="J203" s="44"/>
      <c r="K203" s="45"/>
      <c r="L203" s="67"/>
      <c r="M203" s="22"/>
      <c r="N203" s="11"/>
      <c r="O203" s="11"/>
    </row>
    <row r="204" spans="1:15">
      <c r="A204" s="11"/>
      <c r="B204" s="11"/>
      <c r="C204" s="11"/>
      <c r="D204" s="11"/>
      <c r="E204" s="11"/>
      <c r="F204" s="43"/>
      <c r="G204" s="43"/>
      <c r="H204" s="43"/>
      <c r="I204" s="11"/>
      <c r="J204" s="44"/>
      <c r="K204" s="45"/>
      <c r="L204" s="67"/>
      <c r="M204" s="22"/>
      <c r="N204" s="11"/>
      <c r="O204" s="11"/>
    </row>
    <row r="205" spans="1:15" ht="15.75">
      <c r="A205" s="168" t="s">
        <v>16</v>
      </c>
      <c r="B205" s="180"/>
      <c r="C205" s="181"/>
      <c r="D205" s="169"/>
      <c r="E205" s="182"/>
      <c r="F205" s="169"/>
      <c r="G205" s="169"/>
      <c r="H205" s="169"/>
      <c r="I205" s="169"/>
      <c r="J205" s="169"/>
      <c r="K205" s="169"/>
      <c r="L205" s="183"/>
      <c r="M205" s="22"/>
      <c r="N205" s="11"/>
      <c r="O205" s="11"/>
    </row>
    <row r="206" spans="1:15" ht="15.75">
      <c r="A206" s="86"/>
      <c r="B206" s="21" t="s">
        <v>1188</v>
      </c>
      <c r="C206" s="19"/>
      <c r="D206" s="9"/>
      <c r="E206" s="13"/>
      <c r="F206" s="9"/>
      <c r="G206" s="9"/>
      <c r="H206" s="9"/>
      <c r="I206" s="3156" t="s">
        <v>496</v>
      </c>
      <c r="J206" s="3144"/>
      <c r="K206" s="3144"/>
      <c r="L206" s="3145"/>
      <c r="M206" s="22"/>
      <c r="N206" s="11"/>
      <c r="O206" s="11"/>
    </row>
    <row r="207" spans="1:15" ht="15.75">
      <c r="A207" s="13"/>
      <c r="B207" s="41"/>
      <c r="C207" s="424">
        <v>0</v>
      </c>
      <c r="D207" s="2634" t="s">
        <v>547</v>
      </c>
      <c r="E207" s="13"/>
      <c r="F207" s="9"/>
      <c r="G207" s="9"/>
      <c r="H207" s="9"/>
      <c r="I207" s="13"/>
      <c r="J207" s="9"/>
      <c r="K207" s="70"/>
      <c r="L207" s="106">
        <f>C207</f>
        <v>0</v>
      </c>
      <c r="M207" s="22"/>
      <c r="N207" s="11"/>
      <c r="O207" s="11"/>
    </row>
    <row r="208" spans="1:15" ht="14.25">
      <c r="A208" s="161"/>
      <c r="B208" s="162"/>
      <c r="C208" s="211"/>
      <c r="D208" s="162"/>
      <c r="E208" s="161"/>
      <c r="F208" s="163"/>
      <c r="G208" s="163"/>
      <c r="H208" s="1404" t="s">
        <v>792</v>
      </c>
      <c r="I208" s="3325" t="s">
        <v>528</v>
      </c>
      <c r="J208" s="3325"/>
      <c r="K208" s="3325"/>
      <c r="L208" s="1405">
        <f>C207</f>
        <v>0</v>
      </c>
      <c r="M208" s="22"/>
      <c r="N208" s="11"/>
      <c r="O208" s="11"/>
    </row>
    <row r="209" spans="1:15">
      <c r="A209" s="11"/>
      <c r="B209" s="11"/>
      <c r="C209" s="11"/>
      <c r="D209" s="11"/>
      <c r="E209" s="11"/>
      <c r="F209" s="43"/>
      <c r="G209" s="43"/>
      <c r="H209" s="43"/>
      <c r="I209" s="11"/>
      <c r="J209" s="44"/>
      <c r="K209" s="45"/>
      <c r="L209" s="67"/>
      <c r="M209" s="22"/>
      <c r="N209" s="11"/>
      <c r="O209" s="11"/>
    </row>
    <row r="210" spans="1:15">
      <c r="A210" s="11"/>
      <c r="B210" s="11"/>
      <c r="C210" s="11"/>
      <c r="D210" s="11"/>
      <c r="E210" s="11"/>
      <c r="F210" s="43"/>
      <c r="G210" s="43"/>
      <c r="H210" s="43"/>
      <c r="I210" s="11"/>
      <c r="J210" s="44"/>
      <c r="K210" s="45"/>
      <c r="L210" s="67"/>
      <c r="M210" s="22"/>
      <c r="N210" s="11"/>
      <c r="O210" s="11"/>
    </row>
    <row r="211" spans="1:15" ht="15.75">
      <c r="A211" s="168" t="s">
        <v>17</v>
      </c>
      <c r="B211" s="180"/>
      <c r="C211" s="181"/>
      <c r="D211" s="169"/>
      <c r="E211" s="182"/>
      <c r="F211" s="169"/>
      <c r="G211" s="169"/>
      <c r="H211" s="169"/>
      <c r="I211" s="169"/>
      <c r="J211" s="169"/>
      <c r="K211" s="169"/>
      <c r="L211" s="183"/>
      <c r="M211" s="22"/>
      <c r="N211" s="11"/>
      <c r="O211" s="11"/>
    </row>
    <row r="212" spans="1:15" ht="15.75">
      <c r="A212" s="86"/>
      <c r="B212" s="21" t="s">
        <v>1189</v>
      </c>
      <c r="C212" s="19"/>
      <c r="D212" s="9"/>
      <c r="E212" s="13"/>
      <c r="F212" s="9"/>
      <c r="G212" s="9"/>
      <c r="H212" s="9"/>
      <c r="I212" s="3156" t="s">
        <v>496</v>
      </c>
      <c r="J212" s="3144"/>
      <c r="K212" s="3144"/>
      <c r="L212" s="3145"/>
      <c r="M212" s="22"/>
      <c r="N212" s="11"/>
      <c r="O212" s="11"/>
    </row>
    <row r="213" spans="1:15" ht="15.75">
      <c r="A213" s="13"/>
      <c r="B213" s="41"/>
      <c r="C213" s="424">
        <v>0</v>
      </c>
      <c r="D213" s="2634" t="s">
        <v>18</v>
      </c>
      <c r="E213" s="13"/>
      <c r="F213" s="9"/>
      <c r="G213" s="9"/>
      <c r="H213" s="9"/>
      <c r="I213" s="13"/>
      <c r="J213" s="9"/>
      <c r="K213" s="70"/>
      <c r="L213" s="106">
        <f>C213</f>
        <v>0</v>
      </c>
      <c r="M213" s="22"/>
      <c r="N213" s="11"/>
      <c r="O213" s="11"/>
    </row>
    <row r="214" spans="1:15" ht="14.25">
      <c r="A214" s="161"/>
      <c r="B214" s="162"/>
      <c r="C214" s="162"/>
      <c r="D214" s="162"/>
      <c r="E214" s="161"/>
      <c r="F214" s="163"/>
      <c r="G214" s="163"/>
      <c r="H214" s="1404" t="s">
        <v>792</v>
      </c>
      <c r="I214" s="3325" t="s">
        <v>528</v>
      </c>
      <c r="J214" s="3325"/>
      <c r="K214" s="3325"/>
      <c r="L214" s="1405">
        <f>C213</f>
        <v>0</v>
      </c>
      <c r="M214" s="22"/>
      <c r="N214" s="11"/>
      <c r="O214" s="11"/>
    </row>
    <row r="215" spans="1:15">
      <c r="A215" s="11"/>
      <c r="B215" s="11"/>
      <c r="C215" s="11"/>
      <c r="D215" s="11"/>
      <c r="E215" s="11"/>
      <c r="F215" s="43"/>
      <c r="G215" s="43"/>
      <c r="H215" s="43"/>
      <c r="I215" s="11"/>
      <c r="J215" s="44"/>
      <c r="K215" s="45"/>
      <c r="L215" s="67"/>
      <c r="M215" s="22"/>
      <c r="N215" s="11"/>
      <c r="O215" s="11"/>
    </row>
    <row r="216" spans="1:15">
      <c r="A216" s="11"/>
      <c r="B216" s="11"/>
      <c r="C216" s="11"/>
      <c r="D216" s="11"/>
      <c r="E216" s="11"/>
      <c r="F216" s="43"/>
      <c r="G216" s="43"/>
      <c r="H216" s="43"/>
      <c r="I216" s="11"/>
      <c r="J216" s="44"/>
      <c r="K216" s="45"/>
      <c r="L216" s="67"/>
      <c r="M216" s="22"/>
      <c r="N216" s="11"/>
      <c r="O216" s="11"/>
    </row>
    <row r="217" spans="1:15" ht="14.25" customHeight="1">
      <c r="A217" s="3274" t="s">
        <v>651</v>
      </c>
      <c r="B217" s="169"/>
      <c r="C217" s="169"/>
      <c r="D217" s="169"/>
      <c r="E217" s="3327" t="s">
        <v>800</v>
      </c>
      <c r="F217" s="3276"/>
      <c r="G217" s="3276"/>
      <c r="H217" s="3328"/>
      <c r="I217" s="3204" t="s">
        <v>528</v>
      </c>
      <c r="J217" s="3205"/>
      <c r="K217" s="3205"/>
      <c r="L217" s="3213">
        <f>L96+L164+L172+L188-L202-L208-L214</f>
        <v>35.667526177680308</v>
      </c>
      <c r="M217" s="22"/>
      <c r="N217" s="11"/>
      <c r="O217" s="11"/>
    </row>
    <row r="218" spans="1:15">
      <c r="A218" s="3275"/>
      <c r="B218" s="176"/>
      <c r="C218" s="176"/>
      <c r="D218" s="176"/>
      <c r="E218" s="3329"/>
      <c r="F218" s="3277"/>
      <c r="G218" s="3277"/>
      <c r="H218" s="3330"/>
      <c r="I218" s="3204"/>
      <c r="J218" s="3205"/>
      <c r="K218" s="3205"/>
      <c r="L218" s="3214"/>
      <c r="M218" s="22"/>
      <c r="N218" s="11"/>
      <c r="O218" s="11"/>
    </row>
    <row r="219" spans="1:15" ht="15.75">
      <c r="A219" s="13"/>
      <c r="B219" s="9"/>
      <c r="C219" s="9"/>
      <c r="D219" s="1238" t="s">
        <v>652</v>
      </c>
      <c r="E219" s="88">
        <f>E24*C48*C59*C70*C101*C122*C156*C168</f>
        <v>42790.945045880188</v>
      </c>
      <c r="F219" s="1148" t="s">
        <v>494</v>
      </c>
      <c r="G219" s="37"/>
      <c r="H219" s="9"/>
      <c r="I219" s="9"/>
      <c r="J219" s="9"/>
      <c r="K219" s="9"/>
      <c r="L219" s="89"/>
      <c r="M219" s="22"/>
      <c r="N219" s="11"/>
      <c r="O219" s="11"/>
    </row>
    <row r="220" spans="1:15" ht="15.75">
      <c r="A220" s="13"/>
      <c r="B220" s="9"/>
      <c r="C220" s="9"/>
      <c r="D220" s="1238" t="s">
        <v>653</v>
      </c>
      <c r="E220" s="90">
        <f>E219/E24</f>
        <v>0.57844828987377617</v>
      </c>
      <c r="F220" s="1148" t="s">
        <v>499</v>
      </c>
      <c r="G220" s="9"/>
      <c r="H220" s="9"/>
      <c r="I220" s="70"/>
      <c r="J220" s="9"/>
      <c r="K220" s="9"/>
      <c r="L220" s="89"/>
      <c r="M220" s="22"/>
      <c r="N220" s="11"/>
      <c r="O220" s="11"/>
    </row>
    <row r="221" spans="1:15">
      <c r="A221" s="13"/>
      <c r="B221" s="9"/>
      <c r="C221" s="9"/>
      <c r="D221" s="9"/>
      <c r="E221" s="9"/>
      <c r="F221" s="71"/>
      <c r="G221" s="71"/>
      <c r="H221" s="9"/>
      <c r="I221" s="70"/>
      <c r="J221" s="9"/>
      <c r="K221" s="9"/>
      <c r="L221" s="89"/>
      <c r="M221" s="22"/>
      <c r="N221" s="11"/>
      <c r="O221" s="11"/>
    </row>
    <row r="222" spans="1:15">
      <c r="A222" s="13"/>
      <c r="B222" s="9"/>
      <c r="C222" s="9"/>
      <c r="D222" s="9"/>
      <c r="E222" s="9"/>
      <c r="F222" s="71"/>
      <c r="G222" s="71"/>
      <c r="H222" s="9"/>
      <c r="I222" s="9"/>
      <c r="J222" s="9"/>
      <c r="K222" s="9"/>
      <c r="L222" s="89"/>
      <c r="M222" s="22"/>
      <c r="N222" s="11"/>
      <c r="O222" s="11"/>
    </row>
    <row r="223" spans="1:15" ht="14.25">
      <c r="A223" s="143"/>
      <c r="B223" s="137"/>
      <c r="C223" s="137"/>
      <c r="D223" s="137"/>
      <c r="E223" s="1462" t="s">
        <v>643</v>
      </c>
      <c r="F223" s="203"/>
      <c r="G223" s="186"/>
      <c r="H223" s="145"/>
      <c r="I223" s="137"/>
      <c r="J223" s="185" t="s">
        <v>572</v>
      </c>
      <c r="K223" s="145"/>
      <c r="L223" s="187">
        <f>L44+L55+L65+L87+L117+L143+L164+L172+L188-L202-L208-L214</f>
        <v>76.104417707835125</v>
      </c>
      <c r="M223" s="22"/>
      <c r="N223" s="11"/>
      <c r="O223" s="11"/>
    </row>
    <row r="224" spans="1:15" ht="14.25">
      <c r="A224" s="188"/>
      <c r="B224" s="189"/>
      <c r="C224" s="190"/>
      <c r="D224" s="137"/>
      <c r="E224" s="1462" t="s">
        <v>742</v>
      </c>
      <c r="F224" s="204"/>
      <c r="G224" s="137"/>
      <c r="H224" s="137"/>
      <c r="I224" s="137"/>
      <c r="J224" s="185" t="s">
        <v>572</v>
      </c>
      <c r="K224" s="137"/>
      <c r="L224" s="191">
        <f>L152+L164+L172+L188-L202-L208-L214</f>
        <v>52.033038333763464</v>
      </c>
      <c r="M224" s="22"/>
      <c r="N224" s="11"/>
      <c r="O224" s="11"/>
    </row>
    <row r="225" spans="1:15">
      <c r="A225" s="143"/>
      <c r="B225" s="137"/>
      <c r="C225" s="137"/>
      <c r="D225" s="137"/>
      <c r="E225" s="1460"/>
      <c r="F225" s="204"/>
      <c r="G225" s="192"/>
      <c r="H225" s="137"/>
      <c r="I225" s="137"/>
      <c r="J225" s="137"/>
      <c r="K225" s="137"/>
      <c r="L225" s="144"/>
      <c r="M225" s="22"/>
      <c r="N225" s="11"/>
      <c r="O225" s="11"/>
    </row>
    <row r="226" spans="1:15">
      <c r="A226" s="161"/>
      <c r="B226" s="162"/>
      <c r="C226" s="162"/>
      <c r="D226" s="162"/>
      <c r="E226" s="1463" t="s">
        <v>644</v>
      </c>
      <c r="F226" s="194"/>
      <c r="G226" s="194"/>
      <c r="H226" s="194"/>
      <c r="I226" s="194"/>
      <c r="J226" s="194"/>
      <c r="K226" s="194"/>
      <c r="L226" s="1290">
        <f>(83.8-L224)/83.8</f>
        <v>0.3790806881412474</v>
      </c>
      <c r="M226" s="22"/>
      <c r="N226" s="11"/>
      <c r="O226" s="11"/>
    </row>
    <row r="227" spans="1:15">
      <c r="M227" s="3"/>
    </row>
    <row r="228" spans="1:15">
      <c r="E228" s="2"/>
      <c r="F228" s="2"/>
      <c r="G228" s="2"/>
      <c r="H228" s="4"/>
      <c r="I228" s="2"/>
      <c r="J228" s="2"/>
      <c r="K228" s="2"/>
      <c r="L228" s="8"/>
      <c r="M228" s="3"/>
    </row>
    <row r="229" spans="1:15">
      <c r="F229" s="2"/>
      <c r="G229" s="2"/>
      <c r="H229" s="2"/>
      <c r="I229" s="68"/>
      <c r="J229" s="2"/>
      <c r="K229" s="2"/>
      <c r="L229" s="69"/>
      <c r="M229" s="34"/>
      <c r="N229" s="3"/>
    </row>
    <row r="230" spans="1:15">
      <c r="F230" s="2"/>
      <c r="G230" s="2"/>
      <c r="H230" s="2"/>
      <c r="I230" s="68"/>
      <c r="J230" s="2"/>
      <c r="K230" s="2"/>
      <c r="L230" s="69"/>
      <c r="M230" s="34"/>
      <c r="N230" s="3"/>
    </row>
    <row r="231" spans="1:15" ht="15.75">
      <c r="F231" s="35"/>
      <c r="G231" s="35"/>
      <c r="H231" s="2"/>
      <c r="I231" s="2"/>
      <c r="J231" s="2"/>
      <c r="K231" s="2"/>
      <c r="L231" s="2"/>
      <c r="M231" s="2"/>
      <c r="N231" s="3"/>
    </row>
    <row r="232" spans="1:15">
      <c r="F232" s="2"/>
      <c r="G232" s="2"/>
      <c r="H232" s="68"/>
      <c r="I232" s="2"/>
      <c r="J232" s="2"/>
      <c r="K232" s="2"/>
      <c r="L232" s="2"/>
      <c r="M232" s="2"/>
      <c r="N232" s="2"/>
    </row>
    <row r="233" spans="1:15">
      <c r="F233" s="68"/>
      <c r="G233" s="68"/>
      <c r="H233" s="2"/>
      <c r="I233" s="24"/>
      <c r="J233" s="2"/>
      <c r="K233" s="2"/>
      <c r="L233" s="2"/>
      <c r="M233" s="2"/>
      <c r="N233" s="2"/>
    </row>
    <row r="234" spans="1:15">
      <c r="F234" s="68"/>
      <c r="G234" s="68"/>
      <c r="H234" s="2"/>
      <c r="I234" s="24"/>
      <c r="J234" s="2"/>
      <c r="K234" s="2"/>
      <c r="L234" s="2"/>
      <c r="M234" s="2"/>
      <c r="N234" s="2"/>
    </row>
    <row r="235" spans="1:15">
      <c r="F235" s="2"/>
      <c r="G235" s="2"/>
      <c r="H235" s="34"/>
      <c r="I235" s="2"/>
      <c r="J235" s="2"/>
      <c r="K235" s="2"/>
      <c r="L235" s="2"/>
      <c r="M235" s="2"/>
      <c r="N235" s="2"/>
    </row>
    <row r="236" spans="1:15">
      <c r="F236" s="2"/>
      <c r="G236" s="2"/>
      <c r="H236" s="2"/>
      <c r="I236" s="2"/>
      <c r="J236" s="2"/>
      <c r="K236" s="2"/>
      <c r="L236" s="2"/>
      <c r="M236" s="2"/>
      <c r="N236" s="2"/>
    </row>
    <row r="237" spans="1:15">
      <c r="F237" s="2"/>
      <c r="G237" s="2"/>
      <c r="H237" s="2"/>
      <c r="I237" s="2"/>
      <c r="J237" s="2"/>
      <c r="K237" s="2"/>
      <c r="L237" s="2"/>
      <c r="M237" s="2"/>
      <c r="N237" s="2"/>
    </row>
    <row r="238" spans="1:15">
      <c r="F238" s="2"/>
      <c r="G238" s="2"/>
      <c r="H238" s="2"/>
      <c r="I238" s="2"/>
      <c r="J238" s="2"/>
      <c r="K238" s="2"/>
      <c r="L238" s="2"/>
      <c r="M238" s="2"/>
      <c r="N238" s="2"/>
    </row>
    <row r="239" spans="1:15">
      <c r="F239" s="2"/>
      <c r="G239" s="2"/>
      <c r="H239" s="2"/>
      <c r="I239" s="2"/>
      <c r="J239" s="2"/>
      <c r="K239" s="2"/>
      <c r="L239" s="2"/>
      <c r="M239" s="2"/>
      <c r="N239" s="2"/>
    </row>
    <row r="240" spans="1:15">
      <c r="F240" s="2"/>
      <c r="G240" s="2"/>
      <c r="H240" s="2"/>
      <c r="I240" s="2"/>
      <c r="J240" s="2"/>
      <c r="K240" s="2"/>
      <c r="L240" s="2"/>
      <c r="M240" s="2"/>
      <c r="N240" s="2"/>
    </row>
    <row r="241" spans="6:14">
      <c r="F241" s="2"/>
      <c r="G241" s="2"/>
      <c r="H241" s="2"/>
      <c r="I241" s="2"/>
      <c r="J241" s="2"/>
      <c r="K241" s="2"/>
      <c r="L241" s="2"/>
      <c r="M241" s="2"/>
      <c r="N241" s="2"/>
    </row>
    <row r="242" spans="6:14">
      <c r="F242" s="2"/>
      <c r="G242" s="2"/>
      <c r="H242" s="2"/>
      <c r="I242" s="2"/>
      <c r="J242" s="2"/>
      <c r="K242" s="2"/>
      <c r="L242" s="2"/>
      <c r="M242" s="2"/>
      <c r="N242" s="2"/>
    </row>
    <row r="243" spans="6:14">
      <c r="F243" s="2"/>
      <c r="G243" s="2"/>
      <c r="H243" s="2"/>
      <c r="I243" s="2"/>
      <c r="J243" s="2"/>
      <c r="K243" s="2"/>
      <c r="L243" s="2"/>
      <c r="M243" s="2"/>
      <c r="N243" s="2"/>
    </row>
    <row r="244" spans="6:14">
      <c r="F244" s="2"/>
      <c r="G244" s="2"/>
      <c r="H244" s="2"/>
      <c r="I244" s="2"/>
      <c r="J244" s="2"/>
      <c r="K244" s="2"/>
      <c r="L244" s="2"/>
      <c r="M244" s="2"/>
      <c r="N244" s="2"/>
    </row>
    <row r="245" spans="6:14">
      <c r="F245" s="2"/>
      <c r="G245" s="2"/>
      <c r="H245" s="2"/>
      <c r="I245" s="2"/>
      <c r="J245" s="2"/>
      <c r="K245" s="2"/>
      <c r="L245" s="2"/>
      <c r="M245" s="2"/>
      <c r="N245" s="2"/>
    </row>
    <row r="246" spans="6:14">
      <c r="F246" s="2"/>
      <c r="G246" s="2"/>
      <c r="H246" s="2"/>
      <c r="I246" s="2"/>
      <c r="J246" s="2"/>
      <c r="K246" s="2"/>
      <c r="L246" s="2"/>
      <c r="M246" s="2"/>
      <c r="N246" s="2"/>
    </row>
    <row r="247" spans="6:14">
      <c r="F247" s="2"/>
      <c r="G247" s="2"/>
      <c r="H247" s="2"/>
      <c r="I247" s="2"/>
      <c r="J247" s="2"/>
      <c r="K247" s="2"/>
      <c r="L247" s="2"/>
      <c r="M247" s="2"/>
      <c r="N247" s="2"/>
    </row>
  </sheetData>
  <customSheetViews>
    <customSheetView guid="{AD88818B-9F97-4B1E-9426-0DECE603685E}" scale="80" showGridLines="0" fitToPage="1" showRuler="0">
      <pane ySplit="21" topLeftCell="A22"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 guid="{7EB5D807-CE20-46E2-AEE6-2C193E010EA4}" scale="80" showGridLines="0" fitToPage="1" showRuler="0">
      <pane ySplit="21" topLeftCell="A22" activePane="bottomLeft" state="frozenSplit"/>
      <selection pane="bottomLeft" activeCell="E3" sqref="E3"/>
      <pageMargins left="0.7" right="0.7" top="0.75" bottom="0.75" header="0.3" footer="0.3"/>
      <headerFooter alignWithMargins="0">
        <oddFooter>&amp;L&amp;8&amp;F&amp;C&amp;8&amp;A&amp;R&amp;8page&amp;P</oddFooter>
      </headerFooter>
    </customSheetView>
  </customSheetViews>
  <mergeCells count="89">
    <mergeCell ref="I208:K208"/>
    <mergeCell ref="I206:L206"/>
    <mergeCell ref="I212:L212"/>
    <mergeCell ref="A217:A218"/>
    <mergeCell ref="E217:H218"/>
    <mergeCell ref="I214:K214"/>
    <mergeCell ref="I217:K218"/>
    <mergeCell ref="L217:L218"/>
    <mergeCell ref="A194:B194"/>
    <mergeCell ref="I192:L192"/>
    <mergeCell ref="I197:L197"/>
    <mergeCell ref="I202:K202"/>
    <mergeCell ref="F193:L194"/>
    <mergeCell ref="F195:L196"/>
    <mergeCell ref="A178:B178"/>
    <mergeCell ref="A168:B168"/>
    <mergeCell ref="I168:L168"/>
    <mergeCell ref="I181:L181"/>
    <mergeCell ref="I188:K188"/>
    <mergeCell ref="F177:L178"/>
    <mergeCell ref="F179:L180"/>
    <mergeCell ref="E167:H167"/>
    <mergeCell ref="I167:L167"/>
    <mergeCell ref="I172:K172"/>
    <mergeCell ref="I164:K164"/>
    <mergeCell ref="I156:L156"/>
    <mergeCell ref="I48:L48"/>
    <mergeCell ref="E58:H58"/>
    <mergeCell ref="I58:L58"/>
    <mergeCell ref="E155:H155"/>
    <mergeCell ref="I155:L155"/>
    <mergeCell ref="I65:K65"/>
    <mergeCell ref="I87:K87"/>
    <mergeCell ref="E90:H91"/>
    <mergeCell ref="J90:K91"/>
    <mergeCell ref="L90:L91"/>
    <mergeCell ref="F148:H148"/>
    <mergeCell ref="I152:K152"/>
    <mergeCell ref="A2:O2"/>
    <mergeCell ref="A3:O3"/>
    <mergeCell ref="A4:A5"/>
    <mergeCell ref="B4:B5"/>
    <mergeCell ref="C4:C5"/>
    <mergeCell ref="D4:D5"/>
    <mergeCell ref="E4:E5"/>
    <mergeCell ref="F4:F5"/>
    <mergeCell ref="H4:H5"/>
    <mergeCell ref="J4:L4"/>
    <mergeCell ref="N4:O4"/>
    <mergeCell ref="N5:O5"/>
    <mergeCell ref="A63:A64"/>
    <mergeCell ref="B63:B64"/>
    <mergeCell ref="C63:C64"/>
    <mergeCell ref="N7:O7"/>
    <mergeCell ref="E22:H22"/>
    <mergeCell ref="I22:L22"/>
    <mergeCell ref="A23:B23"/>
    <mergeCell ref="N22:O22"/>
    <mergeCell ref="I23:L23"/>
    <mergeCell ref="H11:H12"/>
    <mergeCell ref="O11:O12"/>
    <mergeCell ref="I59:L59"/>
    <mergeCell ref="I55:K55"/>
    <mergeCell ref="I44:K44"/>
    <mergeCell ref="E47:H47"/>
    <mergeCell ref="I47:L47"/>
    <mergeCell ref="A69:B69"/>
    <mergeCell ref="E68:H68"/>
    <mergeCell ref="I68:L68"/>
    <mergeCell ref="I69:L69"/>
    <mergeCell ref="I76:L76"/>
    <mergeCell ref="N90:N91"/>
    <mergeCell ref="I96:K96"/>
    <mergeCell ref="E92:H92"/>
    <mergeCell ref="E99:H99"/>
    <mergeCell ref="I99:L99"/>
    <mergeCell ref="A100:B100"/>
    <mergeCell ref="A121:B121"/>
    <mergeCell ref="E146:H147"/>
    <mergeCell ref="I146:K147"/>
    <mergeCell ref="I117:K117"/>
    <mergeCell ref="I100:L100"/>
    <mergeCell ref="I106:L106"/>
    <mergeCell ref="L146:L147"/>
    <mergeCell ref="E120:H120"/>
    <mergeCell ref="I120:L120"/>
    <mergeCell ref="I121:L121"/>
    <mergeCell ref="I143:K143"/>
    <mergeCell ref="I128:L128"/>
  </mergeCells>
  <phoneticPr fontId="0" type="noConversion"/>
  <conditionalFormatting sqref="O9:O20">
    <cfRule type="cellIs" dxfId="8" priority="5" stopIfTrue="1" operator="notBetween">
      <formula>-0.05</formula>
      <formula>0.05</formula>
    </cfRule>
  </conditionalFormatting>
  <conditionalFormatting sqref="E7">
    <cfRule type="expression" dxfId="7" priority="4" stopIfTrue="1">
      <formula>($E7&lt;&gt;"")</formula>
    </cfRule>
  </conditionalFormatting>
  <conditionalFormatting sqref="E10">
    <cfRule type="expression" dxfId="6" priority="3" stopIfTrue="1">
      <formula>($E10&lt;&gt;"")</formula>
    </cfRule>
  </conditionalFormatting>
  <conditionalFormatting sqref="E14">
    <cfRule type="expression" dxfId="5" priority="2" stopIfTrue="1">
      <formula>($E14&lt;&gt;"")</formula>
    </cfRule>
  </conditionalFormatting>
  <conditionalFormatting sqref="E15:E16">
    <cfRule type="expression" dxfId="4" priority="1" stopIfTrue="1">
      <formula>($E15&lt;&gt;"")</formula>
    </cfRule>
  </conditionalFormatting>
  <dataValidations count="3">
    <dataValidation type="list" showDropDown="1" showInputMessage="1" showErrorMessage="1" errorTitle="Wrong input" error="Only values &quot;0&quot; and &quot;-29&quot; are allowed_x000a_" sqref="C185">
      <formula1>"0,-29"</formula1>
    </dataValidation>
    <dataValidation type="list" allowBlank="1" showInputMessage="1" showErrorMessage="1" sqref="F13 F9 F6">
      <formula1>"A,D"</formula1>
    </dataValidation>
    <dataValidation type="list" allowBlank="1" showInputMessage="1" showErrorMessage="1" sqref="E7 E10 E14:E16">
      <formula1>"- ,Individual result of previous calculation, Combined result of previous calculation"</formula1>
    </dataValidation>
  </dataValidations>
  <hyperlinks>
    <hyperlink ref="O50" location="Menu!A6" display="Menu!A6"/>
    <hyperlink ref="O61" location="Menu!A6" display="Menu!A6"/>
    <hyperlink ref="O157" location="Menu!A6" display="Menu!A6"/>
    <hyperlink ref="O49" location="Menu!A6" display="Menu!A6"/>
    <hyperlink ref="O60" location="Menu!A6" display="Menu!A6"/>
    <hyperlink ref="O156" location="Menu!A6" display="Menu!A6"/>
    <hyperlink ref="C196" location="Esca!A1" display="Esca!A1"/>
    <hyperlink ref="C180" location="LUC!A1" display="LUC!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sheetPr codeName="Blad8">
    <pageSetUpPr fitToPage="1"/>
  </sheetPr>
  <dimension ref="A1:Q247"/>
  <sheetViews>
    <sheetView showGridLines="0" topLeftCell="A4" zoomScale="80" workbookViewId="0">
      <selection activeCell="H20" sqref="H20"/>
    </sheetView>
  </sheetViews>
  <sheetFormatPr defaultColWidth="8.85546875" defaultRowHeight="12.75"/>
  <cols>
    <col min="1" max="1" width="22.42578125" style="2184" customWidth="1"/>
    <col min="2" max="2" width="25.85546875" style="2184" customWidth="1"/>
    <col min="3" max="3" width="9.7109375" style="2184" customWidth="1"/>
    <col min="4" max="4" width="20.140625" style="2184" customWidth="1"/>
    <col min="5" max="5" width="14.85546875" style="2184" customWidth="1"/>
    <col min="6" max="6" width="8.42578125" style="2184" customWidth="1"/>
    <col min="7" max="7" width="2.85546875" style="2184" customWidth="1"/>
    <col min="8" max="8" width="19.42578125" style="2184" customWidth="1"/>
    <col min="9" max="12" width="9.140625" style="2184" customWidth="1"/>
    <col min="13" max="13" width="2.42578125" style="2184" customWidth="1"/>
    <col min="14" max="14" width="16.7109375" style="2184" customWidth="1"/>
    <col min="15" max="15" width="13.7109375" style="2184" customWidth="1"/>
    <col min="16" max="16384" width="8.85546875" style="2183"/>
  </cols>
  <sheetData>
    <row r="1" spans="1:15" ht="102" customHeight="1"/>
    <row r="2" spans="1:15" ht="82.5" customHeight="1">
      <c r="A2" s="2470" t="s">
        <v>193</v>
      </c>
      <c r="B2" s="2469" t="s">
        <v>1479</v>
      </c>
      <c r="C2" s="2468" t="s">
        <v>1417</v>
      </c>
      <c r="D2" s="2468" t="s">
        <v>1416</v>
      </c>
      <c r="E2" s="2468" t="s">
        <v>142</v>
      </c>
      <c r="F2" s="2467"/>
      <c r="G2" s="2467"/>
      <c r="H2" s="2466"/>
      <c r="I2" s="2462"/>
      <c r="J2" s="2465"/>
      <c r="K2" s="2464"/>
      <c r="L2" s="2463"/>
      <c r="M2" s="2462"/>
      <c r="N2" s="2462"/>
      <c r="O2" s="2461" t="str">
        <f>[3]About!D2</f>
        <v>Version 4 - Public</v>
      </c>
    </row>
    <row r="3" spans="1:15" ht="27.75" customHeight="1">
      <c r="A3" s="2460" t="s">
        <v>190</v>
      </c>
      <c r="B3" s="2458"/>
      <c r="C3" s="2459"/>
      <c r="D3" s="2459"/>
      <c r="E3" s="2458"/>
      <c r="F3" s="2458"/>
      <c r="G3" s="2458"/>
      <c r="H3" s="2295"/>
      <c r="I3" s="2233"/>
      <c r="J3" s="2457"/>
      <c r="K3" s="2297"/>
      <c r="L3" s="2457"/>
      <c r="M3" s="2457"/>
      <c r="N3" s="2194"/>
      <c r="O3" s="2297"/>
    </row>
    <row r="4" spans="1:15" ht="16.5" customHeight="1">
      <c r="A4" s="2456" t="s">
        <v>189</v>
      </c>
      <c r="B4" s="2455" t="s">
        <v>188</v>
      </c>
      <c r="C4" s="2455" t="s">
        <v>150</v>
      </c>
      <c r="D4" s="2455" t="s">
        <v>187</v>
      </c>
      <c r="E4" s="2454" t="s">
        <v>151</v>
      </c>
      <c r="F4" s="2453" t="s">
        <v>186</v>
      </c>
      <c r="G4" s="2452"/>
      <c r="H4" s="2451" t="s">
        <v>185</v>
      </c>
      <c r="I4" s="2293"/>
      <c r="J4" s="2449" t="s">
        <v>184</v>
      </c>
      <c r="K4" s="2226"/>
      <c r="L4" s="2450"/>
      <c r="M4" s="2193"/>
      <c r="N4" s="2449" t="s">
        <v>183</v>
      </c>
      <c r="O4" s="2448"/>
    </row>
    <row r="5" spans="1:15" ht="16.5" customHeight="1">
      <c r="A5" s="2447" t="s">
        <v>141</v>
      </c>
      <c r="B5" s="2446" t="s">
        <v>180</v>
      </c>
      <c r="C5" s="2446" t="s">
        <v>181</v>
      </c>
      <c r="D5" s="2446" t="s">
        <v>180</v>
      </c>
      <c r="E5" s="2445"/>
      <c r="F5" s="2444" t="s">
        <v>179</v>
      </c>
      <c r="G5" s="2443"/>
      <c r="H5" s="2442" t="s">
        <v>178</v>
      </c>
      <c r="I5" s="2193"/>
      <c r="J5" s="2412" t="str">
        <f>A68</f>
        <v>Extraction of oil</v>
      </c>
      <c r="K5" s="2441"/>
      <c r="L5" s="2429"/>
      <c r="M5" s="2193"/>
      <c r="N5" s="2412" t="s">
        <v>140</v>
      </c>
      <c r="O5" s="2429"/>
    </row>
    <row r="6" spans="1:15" ht="16.5" customHeight="1">
      <c r="A6" s="2424" t="s">
        <v>176</v>
      </c>
      <c r="B6" s="2440"/>
      <c r="C6" s="2439"/>
      <c r="D6" s="2438"/>
      <c r="E6" s="2437">
        <f>IF(F6="A",D7+D8,H6)</f>
        <v>28.910138345305299</v>
      </c>
      <c r="F6" s="2422" t="s">
        <v>1486</v>
      </c>
      <c r="G6" s="2421"/>
      <c r="H6" s="2420">
        <v>29</v>
      </c>
      <c r="I6" s="2193"/>
      <c r="J6" s="2436">
        <f>F93/F95</f>
        <v>0.61250210048731302</v>
      </c>
      <c r="K6" s="2315" t="s">
        <v>139</v>
      </c>
      <c r="L6" s="2435"/>
      <c r="M6" s="2193"/>
      <c r="N6" s="2434">
        <v>83.8</v>
      </c>
      <c r="O6" s="2433" t="s">
        <v>175</v>
      </c>
    </row>
    <row r="7" spans="1:15" ht="12" customHeight="1">
      <c r="A7" s="2412" t="str">
        <f>A22</f>
        <v>Cultivation of rapeseed</v>
      </c>
      <c r="B7" s="2411">
        <f>L44</f>
        <v>48.625584586274798</v>
      </c>
      <c r="C7" s="2419">
        <f>J6*J9</f>
        <v>0.58589129582531174</v>
      </c>
      <c r="D7" s="2247">
        <f>C7*B7</f>
        <v>28.489306763515845</v>
      </c>
      <c r="E7" s="2426"/>
      <c r="F7" s="2417"/>
      <c r="G7" s="2417"/>
      <c r="H7" s="2254">
        <f>28.51</f>
        <v>28.51</v>
      </c>
      <c r="I7" s="2193"/>
      <c r="J7" s="2522">
        <f>1-J6</f>
        <v>0.38749789951268698</v>
      </c>
      <c r="K7" s="2521" t="s">
        <v>138</v>
      </c>
      <c r="L7" s="2435"/>
      <c r="M7" s="2193"/>
      <c r="N7" s="2412" t="s">
        <v>173</v>
      </c>
      <c r="O7" s="2429"/>
    </row>
    <row r="8" spans="1:15" ht="12" customHeight="1">
      <c r="A8" s="2412" t="str">
        <f>A47</f>
        <v>Rapeseed drying</v>
      </c>
      <c r="B8" s="2411">
        <f>L55</f>
        <v>0.71827587265424875</v>
      </c>
      <c r="C8" s="2419">
        <f>J6*J9</f>
        <v>0.58589129582531174</v>
      </c>
      <c r="D8" s="2247">
        <f>C8*B8</f>
        <v>0.4208315817894544</v>
      </c>
      <c r="E8" s="2426"/>
      <c r="G8" s="2417"/>
      <c r="H8" s="2254">
        <f>0.42</f>
        <v>0.42</v>
      </c>
      <c r="I8" s="2193"/>
      <c r="J8" s="2412" t="str">
        <f>A120</f>
        <v>Esterification</v>
      </c>
      <c r="K8" s="2441"/>
      <c r="L8" s="2429"/>
      <c r="M8" s="2193"/>
      <c r="N8" s="2428">
        <f>(N6-E19)/N6</f>
        <v>0.3790806881412474</v>
      </c>
      <c r="O8" s="2427"/>
    </row>
    <row r="9" spans="1:15" ht="16.5" customHeight="1">
      <c r="A9" s="2424" t="s">
        <v>172</v>
      </c>
      <c r="B9" s="2201"/>
      <c r="C9" s="2201"/>
      <c r="D9" s="2423"/>
      <c r="E9" s="2404">
        <f>IF(F9="A",D10+D11+D12, H9)</f>
        <v>21.685787905408169</v>
      </c>
      <c r="F9" s="2422" t="s">
        <v>1486</v>
      </c>
      <c r="G9" s="2421"/>
      <c r="H9" s="2420">
        <v>22</v>
      </c>
      <c r="I9" s="2193"/>
      <c r="J9" s="2436">
        <f>F149/F151</f>
        <v>0.95655393729943228</v>
      </c>
      <c r="K9" s="2315" t="s">
        <v>137</v>
      </c>
      <c r="L9" s="2435"/>
      <c r="M9" s="2193"/>
      <c r="N9" s="2193"/>
      <c r="O9" s="2329"/>
    </row>
    <row r="10" spans="1:15" ht="12" customHeight="1">
      <c r="A10" s="2412" t="str">
        <f>A68</f>
        <v>Extraction of oil</v>
      </c>
      <c r="B10" s="2411">
        <f>L87</f>
        <v>6.529481765397402</v>
      </c>
      <c r="C10" s="2419">
        <f>J6*J9</f>
        <v>0.58589129582531174</v>
      </c>
      <c r="D10" s="2247">
        <f>C10*B10</f>
        <v>3.8255665325964281</v>
      </c>
      <c r="E10" s="2426"/>
      <c r="G10" s="2417"/>
      <c r="H10" s="2254">
        <f>1.4*2.73</f>
        <v>3.8219999999999996</v>
      </c>
      <c r="I10" s="2193"/>
      <c r="J10" s="2432">
        <f>1-J9</f>
        <v>4.3446062700567722E-2</v>
      </c>
      <c r="K10" s="2431" t="s">
        <v>136</v>
      </c>
      <c r="L10" s="2430"/>
      <c r="M10" s="2193"/>
      <c r="N10" s="2193"/>
      <c r="O10" s="2425"/>
    </row>
    <row r="11" spans="1:15" ht="12" customHeight="1">
      <c r="A11" s="2412" t="str">
        <f>A99</f>
        <v>Refining of vegetable oil</v>
      </c>
      <c r="B11" s="2411">
        <f>L117</f>
        <v>1.0648296229465017</v>
      </c>
      <c r="C11" s="2419">
        <f>J9</f>
        <v>0.95655393729943228</v>
      </c>
      <c r="D11" s="2247">
        <f>C11*B11</f>
        <v>1.0185669683825462</v>
      </c>
      <c r="E11" s="2426"/>
      <c r="F11" s="2417"/>
      <c r="G11" s="2417"/>
      <c r="H11" s="3355">
        <f>1.4*12.77</f>
        <v>17.877999999999997</v>
      </c>
      <c r="I11" s="2193"/>
      <c r="J11" s="2193"/>
      <c r="K11" s="2193"/>
      <c r="L11" s="2193"/>
      <c r="M11" s="2193"/>
      <c r="N11" s="2193"/>
      <c r="O11" s="3315"/>
    </row>
    <row r="12" spans="1:15" ht="12" customHeight="1">
      <c r="A12" s="2412" t="str">
        <f>A120</f>
        <v>Esterification</v>
      </c>
      <c r="B12" s="2411">
        <f>L143</f>
        <v>17.606591481894881</v>
      </c>
      <c r="C12" s="2419">
        <f>J9</f>
        <v>0.95655393729943228</v>
      </c>
      <c r="D12" s="2247">
        <f>C12*B12</f>
        <v>16.841654404429196</v>
      </c>
      <c r="E12" s="2426"/>
      <c r="F12" s="2417"/>
      <c r="G12" s="2417"/>
      <c r="H12" s="3356"/>
      <c r="I12" s="2193"/>
      <c r="J12" s="2193"/>
      <c r="K12" s="2193"/>
      <c r="L12" s="2193"/>
      <c r="M12" s="2193"/>
      <c r="N12" s="2193"/>
      <c r="O12" s="3315"/>
    </row>
    <row r="13" spans="1:15" ht="16.5" customHeight="1" thickBot="1">
      <c r="A13" s="2424" t="s">
        <v>171</v>
      </c>
      <c r="B13" s="2201"/>
      <c r="C13" s="2201"/>
      <c r="D13" s="2423"/>
      <c r="E13" s="2404">
        <f>IF(F13="A",D14+D15+D16, H13)</f>
        <v>1.4371120830499982</v>
      </c>
      <c r="F13" s="2422" t="s">
        <v>1486</v>
      </c>
      <c r="G13" s="2421"/>
      <c r="H13" s="2520">
        <v>1</v>
      </c>
      <c r="I13" s="2193"/>
      <c r="J13" s="2193"/>
      <c r="K13" s="2193"/>
      <c r="L13" s="2193"/>
      <c r="M13" s="2193"/>
      <c r="N13" s="2193"/>
      <c r="O13" s="2329"/>
    </row>
    <row r="14" spans="1:15" ht="12" customHeight="1">
      <c r="A14" s="2412" t="str">
        <f>A58</f>
        <v>Transport of rapeseed</v>
      </c>
      <c r="B14" s="2411">
        <f>L65</f>
        <v>0.29591818375690176</v>
      </c>
      <c r="C14" s="2419">
        <f>J6*J9</f>
        <v>0.58589129582531174</v>
      </c>
      <c r="D14" s="2247">
        <f>C14*B14</f>
        <v>0.17337588813960389</v>
      </c>
      <c r="E14" s="2418"/>
      <c r="F14" s="2417"/>
      <c r="G14" s="2417"/>
      <c r="H14" s="2254">
        <f>0.17</f>
        <v>0.17</v>
      </c>
      <c r="I14" s="2193"/>
      <c r="J14" s="2416" t="s">
        <v>170</v>
      </c>
      <c r="K14" s="2381"/>
      <c r="L14" s="2381"/>
      <c r="M14" s="2381"/>
      <c r="N14" s="2415"/>
      <c r="O14" s="2425"/>
    </row>
    <row r="15" spans="1:15" ht="12" customHeight="1">
      <c r="A15" s="2412" t="str">
        <f>A155</f>
        <v>Transport of FAME</v>
      </c>
      <c r="B15" s="2411">
        <f>L164</f>
        <v>0.82245085602150536</v>
      </c>
      <c r="C15" s="2410">
        <v>1</v>
      </c>
      <c r="D15" s="2247">
        <f>C15*B15</f>
        <v>0.82245085602150536</v>
      </c>
      <c r="E15" s="2337"/>
      <c r="F15" s="2298"/>
      <c r="G15" s="2298"/>
      <c r="H15" s="2254">
        <f>0.82</f>
        <v>0.82</v>
      </c>
      <c r="I15" s="2193"/>
      <c r="J15" s="2401"/>
      <c r="K15" s="2376"/>
      <c r="L15" s="2376"/>
      <c r="M15" s="2376"/>
      <c r="N15" s="2413"/>
      <c r="O15" s="2425"/>
    </row>
    <row r="16" spans="1:15" ht="12" customHeight="1">
      <c r="A16" s="2412" t="str">
        <f>A167</f>
        <v>Filling station</v>
      </c>
      <c r="B16" s="2411">
        <f>L172</f>
        <v>0.44128533888888888</v>
      </c>
      <c r="C16" s="2410">
        <v>1</v>
      </c>
      <c r="D16" s="2247">
        <f>C16*B16</f>
        <v>0.44128533888888888</v>
      </c>
      <c r="E16" s="2337"/>
      <c r="F16" s="2298"/>
      <c r="G16" s="2298"/>
      <c r="H16" s="2254">
        <f>0.44</f>
        <v>0.44</v>
      </c>
      <c r="I16" s="2194"/>
      <c r="J16" s="2401"/>
      <c r="K16" s="2376"/>
      <c r="L16" s="2376"/>
      <c r="M16" s="2377"/>
      <c r="N16" s="2409"/>
      <c r="O16" s="2425"/>
    </row>
    <row r="17" spans="1:15" ht="17.25" customHeight="1">
      <c r="A17" s="2407" t="s">
        <v>169</v>
      </c>
      <c r="B17" s="2405">
        <f>L188</f>
        <v>0</v>
      </c>
      <c r="C17" s="2408">
        <f>J6*J9</f>
        <v>0.58589129582531174</v>
      </c>
      <c r="D17" s="2405">
        <f>C17*B17</f>
        <v>0</v>
      </c>
      <c r="E17" s="2404">
        <f>D17</f>
        <v>0</v>
      </c>
      <c r="F17" s="2403"/>
      <c r="G17" s="2403"/>
      <c r="H17" s="2402">
        <v>0</v>
      </c>
      <c r="I17" s="2194"/>
      <c r="J17" s="2401"/>
      <c r="K17" s="2376"/>
      <c r="L17" s="2376"/>
      <c r="M17" s="2392"/>
      <c r="N17" s="2391"/>
      <c r="O17" s="2519"/>
    </row>
    <row r="18" spans="1:15" ht="16.5" customHeight="1">
      <c r="A18" s="2407" t="s">
        <v>1194</v>
      </c>
      <c r="B18" s="2405">
        <f>L202+L208+L214</f>
        <v>0</v>
      </c>
      <c r="C18" s="2406">
        <v>1</v>
      </c>
      <c r="D18" s="2405">
        <f>C18*B18</f>
        <v>0</v>
      </c>
      <c r="E18" s="2404">
        <f>D18</f>
        <v>0</v>
      </c>
      <c r="F18" s="2403"/>
      <c r="G18" s="2403"/>
      <c r="H18" s="2402">
        <v>0</v>
      </c>
      <c r="I18" s="2194"/>
      <c r="J18" s="2401"/>
      <c r="K18" s="2376"/>
      <c r="L18" s="2376"/>
      <c r="M18" s="2392"/>
      <c r="N18" s="2391"/>
      <c r="O18" s="2519"/>
    </row>
    <row r="19" spans="1:15" ht="16.5" customHeight="1" thickBot="1">
      <c r="A19" s="2400" t="s">
        <v>168</v>
      </c>
      <c r="B19" s="2399">
        <f>SUM(B7:B17)-B18</f>
        <v>76.104417707835125</v>
      </c>
      <c r="C19" s="2398"/>
      <c r="D19" s="2398"/>
      <c r="E19" s="2485">
        <f>SUM(E6:E17)-E18</f>
        <v>52.033038333763464</v>
      </c>
      <c r="F19" s="2395"/>
      <c r="G19" s="2395"/>
      <c r="H19" s="2484">
        <v>52</v>
      </c>
      <c r="I19" s="2194"/>
      <c r="J19" s="2483" t="s">
        <v>167</v>
      </c>
      <c r="K19" s="2482"/>
      <c r="L19" s="2482"/>
      <c r="M19" s="2481"/>
      <c r="N19" s="2480"/>
      <c r="O19" s="2479"/>
    </row>
    <row r="20" spans="1:15" ht="16.5" customHeight="1">
      <c r="A20" s="2389"/>
      <c r="B20" s="2388"/>
      <c r="E20" s="2387" t="s">
        <v>166</v>
      </c>
      <c r="F20" s="2386"/>
      <c r="G20" s="2386"/>
      <c r="H20" s="2385"/>
      <c r="I20" s="2384"/>
      <c r="J20" s="2383"/>
      <c r="K20" s="2381"/>
      <c r="L20" s="2382"/>
      <c r="M20" s="2381"/>
      <c r="N20" s="2381"/>
      <c r="O20" s="2380"/>
    </row>
    <row r="21" spans="1:15" ht="22.5" customHeight="1" thickBot="1">
      <c r="A21" s="2379" t="s">
        <v>1452</v>
      </c>
      <c r="B21" s="2194"/>
      <c r="E21" s="2378" t="s">
        <v>165</v>
      </c>
      <c r="F21" s="2377"/>
      <c r="G21" s="2377"/>
      <c r="H21" s="2377"/>
      <c r="I21" s="2376"/>
      <c r="J21" s="2375"/>
      <c r="K21" s="2375"/>
      <c r="L21" s="2374"/>
      <c r="M21" s="2373"/>
      <c r="N21" s="2373"/>
      <c r="O21" s="2372"/>
    </row>
    <row r="22" spans="1:15" ht="15.75">
      <c r="A22" s="2371" t="s">
        <v>135</v>
      </c>
      <c r="B22" s="2370"/>
      <c r="C22" s="2370"/>
      <c r="D22" s="2370"/>
      <c r="E22" s="2371" t="s">
        <v>239</v>
      </c>
      <c r="F22" s="2368"/>
      <c r="G22" s="2368"/>
      <c r="H22" s="2370"/>
      <c r="I22" s="2369" t="s">
        <v>261</v>
      </c>
      <c r="J22" s="2368"/>
      <c r="K22" s="2368"/>
      <c r="L22" s="2367"/>
      <c r="M22" s="2366"/>
      <c r="N22" s="2222" t="s">
        <v>258</v>
      </c>
      <c r="O22" s="2518"/>
    </row>
    <row r="23" spans="1:15" ht="15.75">
      <c r="A23" s="2363"/>
      <c r="B23" s="2362" t="s">
        <v>1428</v>
      </c>
      <c r="C23" s="2361"/>
      <c r="D23" s="2361"/>
      <c r="E23" s="2360" t="s">
        <v>1428</v>
      </c>
      <c r="F23" s="2358"/>
      <c r="G23" s="2358"/>
      <c r="H23" s="2359"/>
      <c r="I23" s="2246" t="s">
        <v>1165</v>
      </c>
      <c r="J23" s="2358"/>
      <c r="K23" s="2358"/>
      <c r="L23" s="2357"/>
      <c r="M23" s="2330"/>
      <c r="N23" s="2280" t="s">
        <v>128</v>
      </c>
      <c r="O23" s="2356" t="s">
        <v>163</v>
      </c>
    </row>
    <row r="24" spans="1:15" ht="16.5">
      <c r="A24" s="2355"/>
      <c r="B24" s="2212" t="s">
        <v>1416</v>
      </c>
      <c r="C24" s="2517">
        <v>3113.4428644904001</v>
      </c>
      <c r="D24" s="2255" t="s">
        <v>1430</v>
      </c>
      <c r="E24" s="2516">
        <f>C24*(1-C25)*VLOOKUP($B24,'[3]Standard values'!$C$9:$S$159,14, FALSE)</f>
        <v>73975.402460291909</v>
      </c>
      <c r="F24" s="2278" t="s">
        <v>129</v>
      </c>
      <c r="G24" s="2278"/>
      <c r="H24" s="2278"/>
      <c r="I24" s="2352" t="s">
        <v>1453</v>
      </c>
      <c r="J24" s="2352" t="s">
        <v>1454</v>
      </c>
      <c r="K24" s="2352" t="s">
        <v>245</v>
      </c>
      <c r="L24" s="2277" t="s">
        <v>1456</v>
      </c>
      <c r="M24" s="2194"/>
      <c r="N24" s="2258" t="s">
        <v>1456</v>
      </c>
      <c r="O24" s="2258" t="s">
        <v>162</v>
      </c>
    </row>
    <row r="25" spans="1:15" ht="15.75">
      <c r="A25" s="2214"/>
      <c r="B25" s="2212" t="s">
        <v>1425</v>
      </c>
      <c r="C25" s="2351">
        <v>0.1</v>
      </c>
      <c r="D25" s="2255"/>
      <c r="E25" s="2279">
        <v>1</v>
      </c>
      <c r="F25" s="2278" t="s">
        <v>1109</v>
      </c>
      <c r="G25" s="2278"/>
      <c r="H25" s="2212"/>
      <c r="I25" s="2257"/>
      <c r="J25" s="2343"/>
      <c r="K25" s="2343"/>
      <c r="L25" s="2342"/>
      <c r="M25" s="2194"/>
      <c r="N25" s="2275"/>
      <c r="O25" s="2275"/>
    </row>
    <row r="26" spans="1:15" ht="15.75">
      <c r="A26" s="2214"/>
      <c r="B26" s="2212" t="s">
        <v>1197</v>
      </c>
      <c r="C26" s="2515" t="s">
        <v>1108</v>
      </c>
      <c r="D26" s="2255" t="s">
        <v>1430</v>
      </c>
      <c r="E26" s="2321">
        <f>+C24/E219</f>
        <v>7.2759385452978095E-2</v>
      </c>
      <c r="F26" s="2278" t="s">
        <v>134</v>
      </c>
      <c r="G26" s="2278"/>
      <c r="H26" s="2212"/>
      <c r="I26" s="2343"/>
      <c r="J26" s="2343"/>
      <c r="K26" s="2343"/>
      <c r="L26" s="2342"/>
      <c r="M26" s="2194"/>
      <c r="N26" s="2275"/>
      <c r="O26" s="2275"/>
    </row>
    <row r="27" spans="1:15">
      <c r="A27" s="2214"/>
      <c r="B27" s="2212"/>
      <c r="C27" s="2348"/>
      <c r="D27" s="2255"/>
      <c r="E27" s="2214"/>
      <c r="F27" s="2212"/>
      <c r="G27" s="2212"/>
      <c r="H27" s="2212"/>
      <c r="I27" s="2217"/>
      <c r="J27" s="2217"/>
      <c r="K27" s="2217"/>
      <c r="L27" s="2350"/>
      <c r="M27" s="2194"/>
      <c r="N27" s="2275"/>
      <c r="O27" s="2275"/>
    </row>
    <row r="28" spans="1:15">
      <c r="A28" s="2214"/>
      <c r="B28" s="2265" t="s">
        <v>1429</v>
      </c>
      <c r="C28" s="2348"/>
      <c r="D28" s="2255"/>
      <c r="E28" s="2214"/>
      <c r="F28" s="2212"/>
      <c r="G28" s="2212"/>
      <c r="H28" s="2212"/>
      <c r="I28" s="2217"/>
      <c r="J28" s="2217"/>
      <c r="K28" s="2217"/>
      <c r="L28" s="2350"/>
      <c r="M28" s="2194"/>
      <c r="N28" s="2275"/>
      <c r="O28" s="2275"/>
    </row>
    <row r="29" spans="1:15" ht="14.25">
      <c r="A29" s="2214"/>
      <c r="B29" s="2212" t="s">
        <v>1413</v>
      </c>
      <c r="C29" s="2349">
        <v>2963</v>
      </c>
      <c r="D29" s="2255" t="s">
        <v>1431</v>
      </c>
      <c r="E29" s="2266"/>
      <c r="F29" s="2212"/>
      <c r="G29" s="2212"/>
      <c r="H29" s="2212"/>
      <c r="I29" s="2343">
        <f>$C29*VLOOKUP($B29,'[3]Standard values'!$C$9:$S$159,7, FALSE)/$E$219</f>
        <v>6.0684340460197106</v>
      </c>
      <c r="J29" s="2343">
        <f>$C29*VLOOKUP($B29,'[3]Standard values'!$C$9:$S$159,8, FALSE)/$E$219</f>
        <v>0</v>
      </c>
      <c r="K29" s="2343">
        <f>$C29*VLOOKUP($B29,'[3]Standard values'!$C$9:$S$159,9, FALSE)/$E$219</f>
        <v>0</v>
      </c>
      <c r="L29" s="2342">
        <f>I29*'[3]Standard values'!$D$10+J29*'[3]Standard values'!$D$11+K29*'[3]Standard values'!$D$12</f>
        <v>6.0684340460197106</v>
      </c>
      <c r="M29" s="2194"/>
      <c r="N29" s="2285">
        <f>+L29/$E$26</f>
        <v>83.404141036093989</v>
      </c>
      <c r="O29" s="2341">
        <f>L29*$E$219/1000</f>
        <v>259.67402777777784</v>
      </c>
    </row>
    <row r="30" spans="1:15">
      <c r="A30" s="2214"/>
      <c r="B30" s="2212"/>
      <c r="C30" s="2348"/>
      <c r="D30" s="2255"/>
      <c r="E30" s="2266"/>
      <c r="F30" s="2212"/>
      <c r="G30" s="2212"/>
      <c r="H30" s="2212"/>
      <c r="I30" s="2343"/>
      <c r="J30" s="2343"/>
      <c r="K30" s="2343"/>
      <c r="L30" s="2342"/>
      <c r="M30" s="2194"/>
      <c r="N30" s="2285"/>
      <c r="O30" s="2341"/>
    </row>
    <row r="31" spans="1:15">
      <c r="A31" s="2214"/>
      <c r="B31" s="2265" t="s">
        <v>1449</v>
      </c>
      <c r="C31" s="2348"/>
      <c r="D31" s="2255"/>
      <c r="E31" s="2266"/>
      <c r="F31" s="2212"/>
      <c r="G31" s="2212"/>
      <c r="H31" s="2212"/>
      <c r="I31" s="2343"/>
      <c r="J31" s="2343"/>
      <c r="K31" s="2343"/>
      <c r="L31" s="2342"/>
      <c r="M31" s="2194"/>
      <c r="N31" s="2285"/>
      <c r="O31" s="2341"/>
    </row>
    <row r="32" spans="1:15" ht="14.25">
      <c r="A32" s="2214"/>
      <c r="B32" s="2212" t="s">
        <v>980</v>
      </c>
      <c r="C32" s="2347">
        <v>137.42915126138399</v>
      </c>
      <c r="D32" s="2255" t="s">
        <v>1432</v>
      </c>
      <c r="E32" s="2266"/>
      <c r="F32" s="2212"/>
      <c r="G32" s="2212"/>
      <c r="H32" s="2212"/>
      <c r="I32" s="2343">
        <f>$C32*VLOOKUP($B32,'[3]Standard values'!$C$9:$S$159,3, FALSE)/$E$219</f>
        <v>9.0793246936288181</v>
      </c>
      <c r="J32" s="2343">
        <f>$C32*VLOOKUP($B32,'[3]Standard values'!$C$9:$S$159,4, FALSE)/$E$219</f>
        <v>2.7873189449040502E-2</v>
      </c>
      <c r="K32" s="2343">
        <f>$C32*VLOOKUP($B32,'[3]Standard values'!$C$9:$S$159,5, FALSE)/$E$219</f>
        <v>3.0965999680803644E-2</v>
      </c>
      <c r="L32" s="2342">
        <f>I32*'[3]Standard values'!$D$10+J32*'[3]Standard values'!$D$11+K32*'[3]Standard values'!$D$12</f>
        <v>19.004022334734316</v>
      </c>
      <c r="M32" s="2194"/>
      <c r="N32" s="2285">
        <f>+L32/$E$26</f>
        <v>261.18997867314266</v>
      </c>
      <c r="O32" s="2341">
        <f>L32*$E$219/1000</f>
        <v>813.20007537629579</v>
      </c>
    </row>
    <row r="33" spans="1:17" ht="14.25">
      <c r="A33" s="2214"/>
      <c r="B33" s="2212" t="s">
        <v>983</v>
      </c>
      <c r="C33" s="2347">
        <v>19</v>
      </c>
      <c r="D33" s="2255" t="s">
        <v>160</v>
      </c>
      <c r="E33" s="2266"/>
      <c r="F33" s="2212"/>
      <c r="G33" s="2212"/>
      <c r="H33" s="2212"/>
      <c r="I33" s="2343">
        <f>$C33*VLOOKUP($B33,'[3]Standard values'!$C$9:$S$159,3, FALSE)/$E$219</f>
        <v>5.2889787724328285E-2</v>
      </c>
      <c r="J33" s="2343">
        <f>$C33*VLOOKUP($B33,'[3]Standard values'!$C$9:$S$159,4, FALSE)/$E$219</f>
        <v>9.586373929348262E-5</v>
      </c>
      <c r="K33" s="2343">
        <f>$C33*VLOOKUP($B33,'[3]Standard values'!$C$9:$S$159,5, FALSE)/$E$219</f>
        <v>8.1255508525740255E-6</v>
      </c>
      <c r="L33" s="2342">
        <f>I33*'[3]Standard values'!$D$10+J33*'[3]Standard values'!$D$11+K33*'[3]Standard values'!$D$12</f>
        <v>5.7707795360732415E-2</v>
      </c>
      <c r="M33" s="2194"/>
      <c r="N33" s="2285">
        <f>+L33/$E$26</f>
        <v>0.79313197880192365</v>
      </c>
      <c r="O33" s="2341">
        <f>L33*$E$219/1000</f>
        <v>2.4693711000000005</v>
      </c>
    </row>
    <row r="34" spans="1:17" ht="15.75">
      <c r="A34" s="2214"/>
      <c r="B34" s="2212" t="s">
        <v>215</v>
      </c>
      <c r="C34" s="2347">
        <v>49.456704071183701</v>
      </c>
      <c r="D34" s="2255" t="s">
        <v>1433</v>
      </c>
      <c r="E34" s="2266"/>
      <c r="F34" s="2212"/>
      <c r="G34" s="2212"/>
      <c r="H34" s="2212"/>
      <c r="I34" s="2343">
        <f>$C34*VLOOKUP($B34,'[3]Standard values'!$C$9:$S$159,3, FALSE)/$E$219</f>
        <v>0.61985472494265181</v>
      </c>
      <c r="J34" s="2343">
        <f>$C34*VLOOKUP($B34,'[3]Standard values'!$C$9:$S$159,4, FALSE)/$E$219</f>
        <v>1.8156069313758339E-3</v>
      </c>
      <c r="K34" s="2343">
        <f>$C34*VLOOKUP($B34,'[3]Standard values'!$C$9:$S$159,5, FALSE)/$E$219</f>
        <v>1.421603237374929E-5</v>
      </c>
      <c r="L34" s="2342">
        <f>I34*'[3]Standard values'!$D$10+J34*'[3]Standard values'!$D$11+K34*'[3]Standard values'!$D$12</f>
        <v>0.66948127587442496</v>
      </c>
      <c r="M34" s="2194"/>
      <c r="N34" s="2285">
        <f>+L34/$E$26</f>
        <v>9.2013047073780996</v>
      </c>
      <c r="O34" s="2341">
        <f>L34*$E$219/1000</f>
        <v>28.647736485188272</v>
      </c>
    </row>
    <row r="35" spans="1:17" ht="15.75">
      <c r="A35" s="2214"/>
      <c r="B35" s="2212" t="s">
        <v>214</v>
      </c>
      <c r="C35" s="2347">
        <v>33.673145974586099</v>
      </c>
      <c r="D35" s="2255" t="s">
        <v>1434</v>
      </c>
      <c r="E35" s="2266"/>
      <c r="F35" s="2212"/>
      <c r="G35" s="2212"/>
      <c r="H35" s="2212"/>
      <c r="I35" s="2343">
        <f>$C35*VLOOKUP($B35,'[3]Standard values'!$C$9:$S$159,3, FALSE)/$E$219</f>
        <v>0.75929063797425067</v>
      </c>
      <c r="J35" s="2343">
        <f>$C35*VLOOKUP($B35,'[3]Standard values'!$C$9:$S$159,4, FALSE)/$E$219</f>
        <v>1.047393490471395E-3</v>
      </c>
      <c r="K35" s="2343">
        <f>$C35*VLOOKUP($B35,'[3]Standard values'!$C$9:$S$159,5, FALSE)/$E$219</f>
        <v>4.052649493559492E-5</v>
      </c>
      <c r="L35" s="2342">
        <f>I35*'[3]Standard values'!$D$10+J35*'[3]Standard values'!$D$11+K35*'[3]Standard values'!$D$12</f>
        <v>0.79755237072684282</v>
      </c>
      <c r="M35" s="2194"/>
      <c r="N35" s="2285">
        <f>+L35/$E$26</f>
        <v>10.961505045177624</v>
      </c>
      <c r="O35" s="2341">
        <f>L35*$E$219/1000</f>
        <v>34.128019666983796</v>
      </c>
    </row>
    <row r="36" spans="1:17" ht="14.25">
      <c r="A36" s="2214"/>
      <c r="B36" s="2212" t="s">
        <v>1410</v>
      </c>
      <c r="C36" s="2347">
        <v>1.23</v>
      </c>
      <c r="D36" s="2255" t="s">
        <v>1430</v>
      </c>
      <c r="E36" s="2266"/>
      <c r="F36" s="2345"/>
      <c r="G36" s="2345"/>
      <c r="H36" s="2345"/>
      <c r="I36" s="2343">
        <f>$C36*VLOOKUP($B36,'[3]Standard values'!$C$9:$S$159,3, FALSE)/$E$219</f>
        <v>0.28418155866765027</v>
      </c>
      <c r="J36" s="2343">
        <f>$C36*VLOOKUP($B36,'[3]Standard values'!$C$9:$S$159,4, FALSE)/$E$219</f>
        <v>7.3376114891444673E-4</v>
      </c>
      <c r="K36" s="2343">
        <f>$C36*VLOOKUP($B36,'[3]Standard values'!$C$9:$S$159,5, FALSE)/$E$219</f>
        <v>4.8330832557742582E-5</v>
      </c>
      <c r="L36" s="2342">
        <f>I36*'[3]Standard values'!$D$10+J36*'[3]Standard values'!$D$11+K36*'[3]Standard values'!$D$12</f>
        <v>0.31692817549271873</v>
      </c>
      <c r="M36" s="2194"/>
      <c r="N36" s="2285">
        <f>+L36/$E$26</f>
        <v>4.3558390923675212</v>
      </c>
      <c r="O36" s="2341">
        <f>L36*$E$219/1000</f>
        <v>13.561656141</v>
      </c>
    </row>
    <row r="37" spans="1:17">
      <c r="A37" s="2214"/>
      <c r="B37" s="2212"/>
      <c r="C37" s="2346"/>
      <c r="D37" s="2255"/>
      <c r="E37" s="2266"/>
      <c r="F37" s="2345"/>
      <c r="G37" s="2345"/>
      <c r="H37" s="2345"/>
      <c r="I37" s="2343"/>
      <c r="J37" s="2343"/>
      <c r="K37" s="2343"/>
      <c r="L37" s="2342"/>
      <c r="M37" s="2194"/>
      <c r="N37" s="2285"/>
      <c r="O37" s="2341"/>
    </row>
    <row r="38" spans="1:17">
      <c r="A38" s="2214"/>
      <c r="B38" s="2265" t="s">
        <v>1415</v>
      </c>
      <c r="C38" s="2346"/>
      <c r="D38" s="2255"/>
      <c r="E38" s="2266"/>
      <c r="F38" s="2212"/>
      <c r="G38" s="2212"/>
      <c r="H38" s="2345"/>
      <c r="I38" s="2343"/>
      <c r="J38" s="2343"/>
      <c r="K38" s="2343"/>
      <c r="L38" s="2342"/>
      <c r="M38" s="2194"/>
      <c r="N38" s="2285"/>
      <c r="O38" s="2341"/>
    </row>
    <row r="39" spans="1:17" ht="14.25">
      <c r="A39" s="2214"/>
      <c r="B39" s="2278" t="s">
        <v>1469</v>
      </c>
      <c r="C39" s="2475">
        <v>6</v>
      </c>
      <c r="D39" s="2255" t="s">
        <v>1430</v>
      </c>
      <c r="E39" s="2266"/>
      <c r="F39" s="2212"/>
      <c r="G39" s="2212"/>
      <c r="H39" s="2212"/>
      <c r="I39" s="2343">
        <f>$C39*VLOOKUP($B39,'[3]Standard values'!$C$9:$S$159,3, FALSE)/$E$219</f>
        <v>5.7780602820269929E-2</v>
      </c>
      <c r="J39" s="2343">
        <f>$C39*VLOOKUP($B39,'[3]Standard values'!$C$9:$S$159,4, FALSE)/$E$219</f>
        <v>1.2797567322078192E-4</v>
      </c>
      <c r="K39" s="2343">
        <f>$C39*VLOOKUP($B39,'[3]Standard values'!$C$9:$S$159,5, FALSE)/$E$219</f>
        <v>1.4060918714342075E-4</v>
      </c>
      <c r="L39" s="2342">
        <f>I39*'[3]Standard values'!$D$10+J39*'[3]Standard values'!$D$11+K39*'[3]Standard values'!$D$12</f>
        <v>0.10288153241952885</v>
      </c>
      <c r="M39" s="2194"/>
      <c r="N39" s="2285">
        <f>+L39/$E$26</f>
        <v>1.4139967205470374</v>
      </c>
      <c r="O39" s="2341">
        <f>L39*$E$219/1000</f>
        <v>4.4023979999999998</v>
      </c>
    </row>
    <row r="40" spans="1:17">
      <c r="A40" s="2214"/>
      <c r="B40" s="2265"/>
      <c r="C40" s="2267"/>
      <c r="D40" s="2255"/>
      <c r="E40" s="2266"/>
      <c r="F40" s="2212"/>
      <c r="G40" s="2212"/>
      <c r="H40" s="2212"/>
      <c r="I40" s="2343"/>
      <c r="J40" s="2343"/>
      <c r="K40" s="2343"/>
      <c r="L40" s="2342"/>
      <c r="M40" s="2194"/>
      <c r="N40" s="2285"/>
      <c r="O40" s="2341"/>
    </row>
    <row r="41" spans="1:17" ht="15">
      <c r="A41" s="2214"/>
      <c r="B41" s="2265" t="s">
        <v>1450</v>
      </c>
      <c r="C41" s="2344">
        <v>3.1028571587511329</v>
      </c>
      <c r="D41" s="2255" t="s">
        <v>1430</v>
      </c>
      <c r="E41" s="2266"/>
      <c r="F41" s="2212"/>
      <c r="G41" s="2212"/>
      <c r="H41" s="2212"/>
      <c r="I41" s="2343">
        <v>0</v>
      </c>
      <c r="J41" s="2343">
        <v>0</v>
      </c>
      <c r="K41" s="2343">
        <f>1000*$C41/$E$219</f>
        <v>7.2512003542437975E-2</v>
      </c>
      <c r="L41" s="2342">
        <f>I41*'[3]Standard values'!$D$10+J41*'[3]Standard values'!$D$11+K41*'[3]Standard values'!$D$12</f>
        <v>21.608577055646517</v>
      </c>
      <c r="M41" s="2194"/>
      <c r="N41" s="2285">
        <f>+L41/$E$26</f>
        <v>296.98680000000002</v>
      </c>
      <c r="O41" s="2341">
        <f>L41*$E$219/1000</f>
        <v>924.65143330783758</v>
      </c>
      <c r="Q41" s="2514"/>
    </row>
    <row r="42" spans="1:17">
      <c r="A42" s="2214"/>
      <c r="B42" s="2265"/>
      <c r="C42" s="2338"/>
      <c r="D42" s="2212"/>
      <c r="E42" s="2266"/>
      <c r="F42" s="2245"/>
      <c r="G42" s="2245"/>
      <c r="H42" s="2245" t="s">
        <v>151</v>
      </c>
      <c r="I42" s="2340">
        <f>SUM(I25:I41)</f>
        <v>16.921756051777681</v>
      </c>
      <c r="J42" s="2340">
        <f>SUM(J25:J41)</f>
        <v>3.1693790432316446E-2</v>
      </c>
      <c r="K42" s="2340">
        <f>SUM(K25:K41)</f>
        <v>0.1037298113211047</v>
      </c>
      <c r="L42" s="2240">
        <f>I42*'[3]Standard values'!$D$10+J42*'[3]Standard values'!$D$11+K42*'[3]Standard values'!$D$12</f>
        <v>48.625584586274798</v>
      </c>
      <c r="M42" s="2194"/>
      <c r="N42" s="2274">
        <f>+L42/$E$26</f>
        <v>668.30669725350901</v>
      </c>
      <c r="O42" s="2339">
        <f>L42*$E$219/1000</f>
        <v>2080.7347178550835</v>
      </c>
    </row>
    <row r="43" spans="1:17">
      <c r="A43" s="2214"/>
      <c r="B43" s="2265"/>
      <c r="C43" s="2338"/>
      <c r="D43" s="2212"/>
      <c r="E43" s="2266"/>
      <c r="F43" s="2245"/>
      <c r="G43" s="2245"/>
      <c r="H43" s="2245"/>
      <c r="I43" s="2247"/>
      <c r="J43" s="2247"/>
      <c r="K43" s="2247"/>
      <c r="L43" s="2337"/>
      <c r="M43" s="2194"/>
      <c r="N43" s="2193"/>
      <c r="O43" s="2193"/>
    </row>
    <row r="44" spans="1:17" ht="14.25">
      <c r="A44" s="2239"/>
      <c r="B44" s="2237"/>
      <c r="C44" s="2237"/>
      <c r="D44" s="2237"/>
      <c r="E44" s="2239"/>
      <c r="F44" s="2238"/>
      <c r="G44" s="2238"/>
      <c r="H44" s="2238" t="s">
        <v>241</v>
      </c>
      <c r="I44" s="2335"/>
      <c r="J44" s="2236" t="s">
        <v>97</v>
      </c>
      <c r="K44" s="2334"/>
      <c r="L44" s="2234">
        <f>L42</f>
        <v>48.625584586274798</v>
      </c>
      <c r="M44" s="2194"/>
      <c r="N44" s="2193"/>
      <c r="O44" s="2193"/>
    </row>
    <row r="45" spans="1:17">
      <c r="A45" s="2194"/>
      <c r="B45" s="2194"/>
      <c r="C45" s="2194"/>
      <c r="D45" s="2194"/>
      <c r="E45" s="2194"/>
      <c r="F45" s="2333"/>
      <c r="G45" s="2333"/>
      <c r="H45" s="2333"/>
      <c r="I45" s="2332"/>
      <c r="J45" s="2331"/>
      <c r="K45" s="2330"/>
      <c r="L45" s="2329"/>
      <c r="M45" s="2194"/>
      <c r="N45" s="2193"/>
      <c r="O45" s="2193"/>
    </row>
    <row r="46" spans="1:17">
      <c r="A46" s="2193"/>
      <c r="B46" s="2193"/>
      <c r="C46" s="2193"/>
      <c r="D46" s="2193"/>
      <c r="E46" s="2193"/>
      <c r="F46" s="2193"/>
      <c r="G46" s="2193"/>
      <c r="H46" s="2193"/>
      <c r="I46" s="2328"/>
      <c r="J46" s="2328"/>
      <c r="K46" s="2328"/>
      <c r="L46" s="2328"/>
      <c r="M46" s="2194"/>
      <c r="N46" s="2193"/>
      <c r="O46" s="2193"/>
    </row>
    <row r="47" spans="1:17" ht="15.75">
      <c r="A47" s="2229" t="s">
        <v>133</v>
      </c>
      <c r="B47" s="2228"/>
      <c r="C47" s="2228"/>
      <c r="D47" s="2228"/>
      <c r="E47" s="2229" t="s">
        <v>239</v>
      </c>
      <c r="F47" s="2227"/>
      <c r="G47" s="2227"/>
      <c r="H47" s="2228"/>
      <c r="I47" s="2227" t="s">
        <v>261</v>
      </c>
      <c r="J47" s="2291"/>
      <c r="K47" s="2291"/>
      <c r="L47" s="2290"/>
      <c r="M47" s="2194"/>
      <c r="N47" s="2282" t="s">
        <v>258</v>
      </c>
      <c r="O47" s="2193"/>
    </row>
    <row r="48" spans="1:17" ht="15.75">
      <c r="A48" s="2473"/>
      <c r="B48" s="2265" t="s">
        <v>1416</v>
      </c>
      <c r="C48" s="2281">
        <v>1</v>
      </c>
      <c r="D48" s="2212" t="s">
        <v>130</v>
      </c>
      <c r="E48" s="2474">
        <f>E24*C48</f>
        <v>73975.402460291909</v>
      </c>
      <c r="F48" s="2278" t="s">
        <v>129</v>
      </c>
      <c r="G48" s="2278"/>
      <c r="H48" s="2212"/>
      <c r="I48" s="2246" t="s">
        <v>1165</v>
      </c>
      <c r="J48" s="2245"/>
      <c r="K48" s="2245"/>
      <c r="L48" s="2244"/>
      <c r="M48" s="2194"/>
      <c r="N48" s="2280" t="s">
        <v>128</v>
      </c>
      <c r="O48" s="2193"/>
    </row>
    <row r="49" spans="1:15" ht="15.75">
      <c r="A49" s="2473"/>
      <c r="B49" s="2212"/>
      <c r="C49" s="2338"/>
      <c r="D49" s="2212"/>
      <c r="E49" s="2279">
        <f>E25*C48</f>
        <v>1</v>
      </c>
      <c r="F49" s="2278" t="s">
        <v>1109</v>
      </c>
      <c r="G49" s="2278"/>
      <c r="H49" s="2212"/>
      <c r="I49" s="2243" t="s">
        <v>1453</v>
      </c>
      <c r="J49" s="2243" t="s">
        <v>1454</v>
      </c>
      <c r="K49" s="2243" t="s">
        <v>245</v>
      </c>
      <c r="L49" s="2258" t="s">
        <v>1456</v>
      </c>
      <c r="M49" s="2194"/>
      <c r="N49" s="2258" t="s">
        <v>1456</v>
      </c>
      <c r="O49" s="2193"/>
    </row>
    <row r="50" spans="1:15">
      <c r="A50" s="2214"/>
      <c r="B50" s="2265" t="s">
        <v>1429</v>
      </c>
      <c r="C50" s="2212"/>
      <c r="D50" s="2212"/>
      <c r="E50" s="2214"/>
      <c r="F50" s="2212"/>
      <c r="G50" s="2212"/>
      <c r="H50" s="2212"/>
      <c r="I50" s="2212"/>
      <c r="J50" s="2212"/>
      <c r="K50" s="2212"/>
      <c r="L50" s="2275"/>
      <c r="M50" s="2194"/>
      <c r="N50" s="2275"/>
      <c r="O50" s="2193"/>
    </row>
    <row r="51" spans="1:15" ht="15.75">
      <c r="A51" s="2214"/>
      <c r="B51" s="2278" t="s">
        <v>1413</v>
      </c>
      <c r="C51" s="2513">
        <v>1.8100000000000001E-4</v>
      </c>
      <c r="D51" s="2212" t="s">
        <v>132</v>
      </c>
      <c r="E51" s="2214"/>
      <c r="F51" s="2212"/>
      <c r="G51" s="2212"/>
      <c r="H51" s="2212"/>
      <c r="I51" s="2215">
        <f>$C51*$E$49*VLOOKUP($B51,'[3]Standard values'!$C$9:$S$159,7, FALSE)/$E$220</f>
        <v>2.7422743167501266E-2</v>
      </c>
      <c r="J51" s="2215">
        <f>$C51*$E$49*VLOOKUP($B51,'[3]Standard values'!$C$9:$S$159,8, FALSE)/$E$220</f>
        <v>0</v>
      </c>
      <c r="K51" s="2215">
        <f>$C51*$E$49*VLOOKUP($B51,'[3]Standard values'!$C$9:$S$159,9, FALSE)/$E$220</f>
        <v>0</v>
      </c>
      <c r="L51" s="2254">
        <f>I51*'[3]Standard values'!$D$10+J51*'[3]Standard values'!$D$11+K51*'[3]Standard values'!$D$12</f>
        <v>2.7422743167501266E-2</v>
      </c>
      <c r="M51" s="2194"/>
      <c r="N51" s="2285">
        <f>+L51/$E$26</f>
        <v>0.37689629999999996</v>
      </c>
      <c r="O51" s="2193"/>
    </row>
    <row r="52" spans="1:15" ht="15.75">
      <c r="A52" s="2214"/>
      <c r="B52" s="2212" t="s">
        <v>1371</v>
      </c>
      <c r="C52" s="2513">
        <v>3.0790000000000001E-3</v>
      </c>
      <c r="D52" s="2212" t="s">
        <v>132</v>
      </c>
      <c r="E52" s="2214"/>
      <c r="F52" s="2212"/>
      <c r="G52" s="2212"/>
      <c r="H52" s="2212"/>
      <c r="I52" s="2215">
        <f>$C52*$E$49*VLOOKUP($B52,'[3]Standard values'!$C$9:$S$159,7, FALSE)/$E$220</f>
        <v>0.64297236591564377</v>
      </c>
      <c r="J52" s="2215">
        <f>$C52*$E$49*VLOOKUP($B52,'[3]Standard values'!$C$9:$S$159,8, FALSE)/$E$220</f>
        <v>1.5680262163645701E-3</v>
      </c>
      <c r="K52" s="2215">
        <f>$C52*$E$49*VLOOKUP($B52,'[3]Standard values'!$C$9:$S$159,9, FALSE)/$E$220</f>
        <v>2.9127879738219736E-5</v>
      </c>
      <c r="L52" s="2254">
        <f>I52*'[3]Standard values'!$D$10+J52*'[3]Standard values'!$D$11+K52*'[3]Standard values'!$D$12</f>
        <v>0.69085312948674749</v>
      </c>
      <c r="M52" s="2194"/>
      <c r="N52" s="2285">
        <f>+L52/$E$26</f>
        <v>9.4950379966199989</v>
      </c>
      <c r="O52" s="2193"/>
    </row>
    <row r="53" spans="1:15">
      <c r="A53" s="2214"/>
      <c r="B53" s="2212"/>
      <c r="C53" s="2212"/>
      <c r="D53" s="2212"/>
      <c r="E53" s="2214"/>
      <c r="F53" s="2212"/>
      <c r="G53" s="2212"/>
      <c r="H53" s="2245" t="s">
        <v>151</v>
      </c>
      <c r="I53" s="2340">
        <f>SUM(I50:I52)</f>
        <v>0.67039510908314504</v>
      </c>
      <c r="J53" s="2340">
        <f>SUM(J50:J52)</f>
        <v>1.5680262163645701E-3</v>
      </c>
      <c r="K53" s="2340">
        <f>SUM(K50:K52)</f>
        <v>2.9127879738219736E-5</v>
      </c>
      <c r="L53" s="2240">
        <f>I53*'[3]Standard values'!$D$10+J53*'[3]Standard values'!$D$11+K53*'[3]Standard values'!$D$12</f>
        <v>0.71827587265424875</v>
      </c>
      <c r="M53" s="2194"/>
      <c r="N53" s="2274">
        <f>+L53/$E$26</f>
        <v>9.8719342966199992</v>
      </c>
      <c r="O53" s="2512"/>
    </row>
    <row r="54" spans="1:15">
      <c r="A54" s="2286"/>
      <c r="B54" s="2212"/>
      <c r="C54" s="2246"/>
      <c r="D54" s="2212"/>
      <c r="E54" s="2214"/>
      <c r="F54" s="2212"/>
      <c r="G54" s="2212"/>
      <c r="H54" s="2212"/>
      <c r="I54" s="2212"/>
      <c r="J54" s="2212"/>
      <c r="K54" s="2212"/>
      <c r="L54" s="2275"/>
      <c r="M54" s="2194"/>
      <c r="N54" s="2193"/>
      <c r="O54" s="2193"/>
    </row>
    <row r="55" spans="1:15" ht="14.25">
      <c r="A55" s="2239"/>
      <c r="B55" s="2237"/>
      <c r="C55" s="2237"/>
      <c r="D55" s="2237"/>
      <c r="E55" s="2239"/>
      <c r="F55" s="2238"/>
      <c r="G55" s="2238"/>
      <c r="H55" s="2238" t="s">
        <v>241</v>
      </c>
      <c r="I55" s="2237"/>
      <c r="J55" s="2236" t="s">
        <v>97</v>
      </c>
      <c r="K55" s="2235"/>
      <c r="L55" s="2234">
        <f>L53</f>
        <v>0.71827587265424875</v>
      </c>
      <c r="M55" s="2194"/>
      <c r="N55" s="2193"/>
      <c r="O55" s="2193"/>
    </row>
    <row r="56" spans="1:15">
      <c r="A56" s="2193"/>
      <c r="B56" s="2193"/>
      <c r="C56" s="2193"/>
      <c r="D56" s="2193"/>
      <c r="E56" s="2193"/>
      <c r="F56" s="2233"/>
      <c r="G56" s="2233"/>
      <c r="H56" s="2233"/>
      <c r="I56" s="2193"/>
      <c r="J56" s="2232"/>
      <c r="K56" s="2231"/>
      <c r="L56" s="2284"/>
      <c r="M56" s="2194"/>
      <c r="N56" s="2193"/>
      <c r="O56" s="2193"/>
    </row>
    <row r="57" spans="1:15">
      <c r="A57" s="2193"/>
      <c r="B57" s="2193"/>
      <c r="C57" s="2193"/>
      <c r="D57" s="2193"/>
      <c r="E57" s="2193"/>
      <c r="F57" s="2193"/>
      <c r="G57" s="2193"/>
      <c r="H57" s="2193"/>
      <c r="I57" s="2328"/>
      <c r="J57" s="2328"/>
      <c r="K57" s="2328"/>
      <c r="L57" s="2328"/>
      <c r="M57" s="2194"/>
      <c r="N57" s="2193"/>
      <c r="O57" s="2193"/>
    </row>
    <row r="58" spans="1:15" ht="15.75">
      <c r="A58" s="2229" t="s">
        <v>131</v>
      </c>
      <c r="B58" s="2228"/>
      <c r="C58" s="2228"/>
      <c r="D58" s="2228"/>
      <c r="E58" s="2229" t="s">
        <v>239</v>
      </c>
      <c r="F58" s="2227"/>
      <c r="G58" s="2227"/>
      <c r="H58" s="2228"/>
      <c r="I58" s="2227" t="s">
        <v>261</v>
      </c>
      <c r="J58" s="2291"/>
      <c r="K58" s="2291"/>
      <c r="L58" s="2290"/>
      <c r="M58" s="2194"/>
      <c r="N58" s="2282" t="s">
        <v>258</v>
      </c>
      <c r="O58" s="2193"/>
    </row>
    <row r="59" spans="1:15" ht="15.75">
      <c r="A59" s="2214"/>
      <c r="B59" s="2265" t="s">
        <v>1416</v>
      </c>
      <c r="C59" s="2281">
        <v>0.99009900990099009</v>
      </c>
      <c r="D59" s="2212" t="s">
        <v>130</v>
      </c>
      <c r="E59" s="2326">
        <f>E48*C59</f>
        <v>73242.972732962284</v>
      </c>
      <c r="F59" s="2278" t="s">
        <v>129</v>
      </c>
      <c r="G59" s="2278"/>
      <c r="H59" s="2212"/>
      <c r="I59" s="2246" t="s">
        <v>1165</v>
      </c>
      <c r="J59" s="2245"/>
      <c r="K59" s="2245"/>
      <c r="L59" s="2244"/>
      <c r="M59" s="2194"/>
      <c r="N59" s="2280" t="s">
        <v>128</v>
      </c>
      <c r="O59" s="2193"/>
    </row>
    <row r="60" spans="1:15" ht="15.75">
      <c r="A60" s="2214"/>
      <c r="B60" s="2212"/>
      <c r="C60" s="2212"/>
      <c r="D60" s="2212"/>
      <c r="E60" s="2279">
        <f>E49*C59</f>
        <v>0.99009900990099009</v>
      </c>
      <c r="F60" s="2278" t="s">
        <v>1109</v>
      </c>
      <c r="G60" s="2278"/>
      <c r="H60" s="2212"/>
      <c r="I60" s="2243" t="s">
        <v>1453</v>
      </c>
      <c r="J60" s="2243" t="s">
        <v>1454</v>
      </c>
      <c r="K60" s="2243" t="s">
        <v>245</v>
      </c>
      <c r="L60" s="2258" t="s">
        <v>1456</v>
      </c>
      <c r="M60" s="2194"/>
      <c r="N60" s="2258" t="s">
        <v>1456</v>
      </c>
      <c r="O60" s="2193"/>
    </row>
    <row r="61" spans="1:15">
      <c r="A61" s="2214"/>
      <c r="B61" s="2265" t="s">
        <v>1407</v>
      </c>
      <c r="C61" s="2212"/>
      <c r="D61" s="2212"/>
      <c r="E61" s="2279"/>
      <c r="F61" s="2278"/>
      <c r="G61" s="2278"/>
      <c r="H61" s="2212"/>
      <c r="I61" s="2243"/>
      <c r="J61" s="2243"/>
      <c r="K61" s="2243"/>
      <c r="L61" s="2258"/>
      <c r="M61" s="2194"/>
      <c r="N61" s="2275"/>
      <c r="O61" s="2193"/>
    </row>
    <row r="62" spans="1:15" ht="15.75">
      <c r="A62" s="2214"/>
      <c r="B62" s="2212" t="s">
        <v>1360</v>
      </c>
      <c r="C62" s="2242">
        <v>50</v>
      </c>
      <c r="D62" s="2212" t="s">
        <v>1414</v>
      </c>
      <c r="E62" s="2287">
        <f>(C62*E60)/(VLOOKUP($B59,'[3]Standard values'!$C$9:$S$159,14, FALSE))/(1-$C$25)/1000</f>
        <v>2.0835416875020834E-3</v>
      </c>
      <c r="F62" s="2212" t="s">
        <v>104</v>
      </c>
      <c r="G62" s="2212"/>
      <c r="H62" s="2212"/>
      <c r="I62" s="2215">
        <f>$E62*VLOOKUP($B62,'[3]Standard values'!$C$9:$S$159,15, FALSE)*VLOOKUP(C63,'[3]Standard values'!$C$9:$S$159,7, FALSE)/$E$220</f>
        <v>0.29546794003503929</v>
      </c>
      <c r="J62" s="2215">
        <f>$E62*((VLOOKUP($B62,'[3]Standard values'!$C$9:$S$159,15, FALSE)*VLOOKUP(C63,'[3]Standard values'!$C$9:$S$159,8, FALSE))+VLOOKUP($B62,'[3]Standard values'!$C$9:$S$159,16, FALSE))/$E$220</f>
        <v>1.8009748874499528E-5</v>
      </c>
      <c r="K62" s="2215">
        <f>$E62*((VLOOKUP($B62,'[3]Standard values'!$C$9:$S$159,15, FALSE)*VLOOKUP(C63,'[3]Standard values'!$C$9:$S$159,9, FALSE))+VLOOKUP($B62,'[3]Standard values'!$C$9:$S$159,17, FALSE))/$E$220</f>
        <v>0</v>
      </c>
      <c r="L62" s="2240">
        <f>I62*'[3]Standard values'!$D$10+J62*'[3]Standard values'!$D$11+K62*'[3]Standard values'!$D$12</f>
        <v>0.29591818375690176</v>
      </c>
      <c r="M62" s="2194"/>
      <c r="N62" s="2274">
        <f>+L62/$E$26</f>
        <v>4.0670792079207922</v>
      </c>
      <c r="O62" s="2193"/>
    </row>
    <row r="63" spans="1:15">
      <c r="A63" s="2214"/>
      <c r="B63" s="2217" t="s">
        <v>1374</v>
      </c>
      <c r="C63" s="2288" t="s">
        <v>1413</v>
      </c>
      <c r="D63" s="2212"/>
      <c r="E63" s="2287"/>
      <c r="F63" s="2212"/>
      <c r="G63" s="2212"/>
      <c r="H63" s="2212"/>
      <c r="I63" s="2215"/>
      <c r="J63" s="2215"/>
      <c r="K63" s="2215"/>
      <c r="L63" s="2240"/>
      <c r="M63" s="2194"/>
      <c r="N63" s="2193"/>
      <c r="O63" s="2193"/>
    </row>
    <row r="64" spans="1:15">
      <c r="A64" s="2214"/>
      <c r="B64" s="2212"/>
      <c r="C64" s="2212"/>
      <c r="D64" s="2212"/>
      <c r="E64" s="2214"/>
      <c r="F64" s="2212"/>
      <c r="G64" s="2212"/>
      <c r="H64" s="2327"/>
      <c r="I64" s="2215"/>
      <c r="J64" s="2215"/>
      <c r="K64" s="2215"/>
      <c r="L64" s="2240"/>
      <c r="M64" s="2194"/>
      <c r="N64" s="2193"/>
      <c r="O64" s="2193"/>
    </row>
    <row r="65" spans="1:15" ht="14.25">
      <c r="A65" s="2239"/>
      <c r="B65" s="2237"/>
      <c r="C65" s="2237"/>
      <c r="D65" s="2237"/>
      <c r="E65" s="2239"/>
      <c r="F65" s="2238"/>
      <c r="G65" s="2238"/>
      <c r="H65" s="2238" t="s">
        <v>241</v>
      </c>
      <c r="I65" s="2237"/>
      <c r="J65" s="2236" t="s">
        <v>97</v>
      </c>
      <c r="K65" s="2235"/>
      <c r="L65" s="2234">
        <f>L62</f>
        <v>0.29591818375690176</v>
      </c>
      <c r="M65" s="2194"/>
      <c r="N65" s="2193"/>
      <c r="O65" s="2193"/>
    </row>
    <row r="66" spans="1:15">
      <c r="A66" s="2193"/>
      <c r="B66" s="2193"/>
      <c r="C66" s="2193"/>
      <c r="D66" s="2193"/>
      <c r="E66" s="2193"/>
      <c r="F66" s="2233"/>
      <c r="G66" s="2233"/>
      <c r="H66" s="2233"/>
      <c r="I66" s="2193"/>
      <c r="J66" s="2232"/>
      <c r="K66" s="2231"/>
      <c r="L66" s="2284"/>
      <c r="M66" s="2194"/>
      <c r="N66" s="2194"/>
      <c r="O66" s="2194"/>
    </row>
    <row r="67" spans="1:15">
      <c r="A67" s="2193"/>
      <c r="B67" s="2193"/>
      <c r="C67" s="2193"/>
      <c r="D67" s="2193"/>
      <c r="E67" s="2193"/>
      <c r="F67" s="2193"/>
      <c r="G67" s="2193"/>
      <c r="H67" s="2193"/>
      <c r="I67" s="2193"/>
      <c r="J67" s="2193"/>
      <c r="K67" s="2193"/>
      <c r="L67" s="2295"/>
      <c r="M67" s="2194"/>
      <c r="N67" s="2194"/>
      <c r="O67" s="2194"/>
    </row>
    <row r="68" spans="1:15" ht="15.75">
      <c r="A68" s="2229" t="s">
        <v>127</v>
      </c>
      <c r="B68" s="2228"/>
      <c r="C68" s="2228"/>
      <c r="D68" s="2228"/>
      <c r="E68" s="2229" t="s">
        <v>239</v>
      </c>
      <c r="F68" s="2227"/>
      <c r="G68" s="2227"/>
      <c r="H68" s="2228"/>
      <c r="I68" s="2227" t="s">
        <v>261</v>
      </c>
      <c r="J68" s="2291"/>
      <c r="K68" s="2291"/>
      <c r="L68" s="2290"/>
      <c r="M68" s="2194"/>
      <c r="N68" s="2511" t="s">
        <v>258</v>
      </c>
      <c r="O68" s="2194"/>
    </row>
    <row r="69" spans="1:15">
      <c r="A69" s="2214"/>
      <c r="B69" s="2265" t="s">
        <v>1428</v>
      </c>
      <c r="C69" s="2212"/>
      <c r="D69" s="2212"/>
      <c r="E69" s="2326"/>
      <c r="F69" s="2325"/>
      <c r="G69" s="2325"/>
      <c r="H69" s="2212"/>
      <c r="I69" s="2246" t="s">
        <v>1165</v>
      </c>
      <c r="J69" s="2245"/>
      <c r="K69" s="2245"/>
      <c r="L69" s="2244"/>
      <c r="M69" s="2194"/>
      <c r="N69" s="2280" t="s">
        <v>124</v>
      </c>
      <c r="O69" s="2194"/>
    </row>
    <row r="70" spans="1:15" ht="15.75">
      <c r="A70" s="2214"/>
      <c r="B70" s="2212" t="s">
        <v>1443</v>
      </c>
      <c r="C70" s="2506">
        <v>0.61250210048731302</v>
      </c>
      <c r="D70" s="2212" t="s">
        <v>126</v>
      </c>
      <c r="E70" s="2326">
        <f>E59*C70</f>
        <v>44861.47464487439</v>
      </c>
      <c r="F70" s="2278" t="s">
        <v>118</v>
      </c>
      <c r="G70" s="2278"/>
      <c r="H70" s="2212"/>
      <c r="I70" s="2243" t="s">
        <v>1453</v>
      </c>
      <c r="J70" s="2243" t="s">
        <v>1454</v>
      </c>
      <c r="K70" s="2243" t="s">
        <v>245</v>
      </c>
      <c r="L70" s="2258" t="s">
        <v>1456</v>
      </c>
      <c r="M70" s="2194"/>
      <c r="N70" s="2258" t="s">
        <v>1456</v>
      </c>
      <c r="O70" s="2194"/>
    </row>
    <row r="71" spans="1:15" ht="15.75">
      <c r="A71" s="2324"/>
      <c r="B71" s="2278" t="s">
        <v>1199</v>
      </c>
      <c r="C71" s="2506">
        <v>0.38749789951268698</v>
      </c>
      <c r="D71" s="2212" t="s">
        <v>125</v>
      </c>
      <c r="E71" s="2279">
        <f>E60*C70</f>
        <v>0.6064377232547653</v>
      </c>
      <c r="F71" s="2278" t="s">
        <v>1109</v>
      </c>
      <c r="G71" s="2278"/>
      <c r="H71" s="2212"/>
      <c r="I71" s="2212"/>
      <c r="J71" s="2212"/>
      <c r="K71" s="2212"/>
      <c r="L71" s="2275"/>
      <c r="M71" s="2194"/>
      <c r="N71" s="2275"/>
      <c r="O71" s="2194"/>
    </row>
    <row r="72" spans="1:15" ht="15.75">
      <c r="A72" s="2324"/>
      <c r="B72" s="2278"/>
      <c r="C72" s="2323"/>
      <c r="D72" s="2278"/>
      <c r="E72" s="2509">
        <f>E70/$E$219/VLOOKUP($B70,'[3]Standard values'!$C$9:$S$159,14, FALSE)</f>
        <v>2.9121863799283151E-2</v>
      </c>
      <c r="F72" s="2278" t="s">
        <v>117</v>
      </c>
      <c r="G72" s="2278"/>
      <c r="H72" s="2212"/>
      <c r="I72" s="2212"/>
      <c r="J72" s="2212"/>
      <c r="K72" s="2212"/>
      <c r="L72" s="2275"/>
      <c r="M72" s="2194"/>
      <c r="N72" s="2275"/>
      <c r="O72" s="2194"/>
    </row>
    <row r="73" spans="1:15">
      <c r="A73" s="2214"/>
      <c r="B73" s="2265" t="s">
        <v>1429</v>
      </c>
      <c r="C73" s="2212"/>
      <c r="D73" s="2212"/>
      <c r="E73" s="2266"/>
      <c r="F73" s="2212"/>
      <c r="G73" s="2212"/>
      <c r="H73" s="2212"/>
      <c r="I73" s="2212"/>
      <c r="J73" s="2212"/>
      <c r="K73" s="2212"/>
      <c r="L73" s="2275"/>
      <c r="M73" s="2194"/>
      <c r="N73" s="2275"/>
      <c r="O73" s="2194"/>
    </row>
    <row r="74" spans="1:15" ht="15.75">
      <c r="A74" s="2214"/>
      <c r="B74" s="2212" t="s">
        <v>1372</v>
      </c>
      <c r="C74" s="2506">
        <f>1.4*0.00839506172839506</f>
        <v>1.1753086419753084E-2</v>
      </c>
      <c r="D74" s="2212" t="s">
        <v>116</v>
      </c>
      <c r="E74" s="2214"/>
      <c r="F74" s="2212"/>
      <c r="G74" s="2212"/>
      <c r="H74" s="2212"/>
      <c r="I74" s="2215">
        <f>$C74*$E$71*VLOOKUP($B74,'[3]Standard values'!$C$9:$S$159,7, FALSE)/$E$220</f>
        <v>1.4707548533120931</v>
      </c>
      <c r="J74" s="2215">
        <f>$C74*$E$71*VLOOKUP($B74,'[3]Standard values'!$C$9:$S$159,8, FALSE)/$E$220</f>
        <v>3.5866660029204821E-3</v>
      </c>
      <c r="K74" s="2215">
        <f>$C74*$E$71*VLOOKUP($B74,'[3]Standard values'!$C$9:$S$159,9, FALSE)/$E$220</f>
        <v>6.640072569582723E-5</v>
      </c>
      <c r="L74" s="2254">
        <f>I74*'[3]Standard values'!$D$10+J74*'[3]Standard values'!$D$11+K74*'[3]Standard values'!$D$12</f>
        <v>1.5802089196424618</v>
      </c>
      <c r="M74" s="2194"/>
      <c r="N74" s="2276">
        <f>L74/$E$72</f>
        <v>54.261943209876542</v>
      </c>
      <c r="O74" s="2194"/>
    </row>
    <row r="75" spans="1:15" ht="15.75">
      <c r="A75" s="2214"/>
      <c r="B75" s="2212" t="s">
        <v>842</v>
      </c>
      <c r="C75" s="2506">
        <f>1.4*0.0397805212620027</f>
        <v>5.569272976680377E-2</v>
      </c>
      <c r="D75" s="2212" t="s">
        <v>116</v>
      </c>
      <c r="E75" s="2214"/>
      <c r="F75" s="2212"/>
      <c r="G75" s="2212"/>
      <c r="H75" s="2212"/>
      <c r="I75" s="2215"/>
      <c r="J75" s="2215"/>
      <c r="K75" s="2215"/>
      <c r="L75" s="2254"/>
      <c r="M75" s="2194"/>
      <c r="N75" s="2285"/>
      <c r="O75" s="2194"/>
    </row>
    <row r="76" spans="1:15">
      <c r="A76" s="2214"/>
      <c r="B76" s="2319" t="s">
        <v>936</v>
      </c>
      <c r="C76" s="2315"/>
      <c r="D76" s="2315"/>
      <c r="E76" s="2302"/>
      <c r="F76" s="2300"/>
      <c r="G76" s="2300"/>
      <c r="H76" s="2300"/>
      <c r="I76" s="2318" t="s">
        <v>845</v>
      </c>
      <c r="J76" s="2300"/>
      <c r="K76" s="2300"/>
      <c r="L76" s="2508"/>
      <c r="M76" s="2194"/>
      <c r="N76" s="2285"/>
      <c r="O76" s="2194"/>
    </row>
    <row r="77" spans="1:15" ht="15.75">
      <c r="A77" s="2214"/>
      <c r="B77" s="2316" t="s">
        <v>152</v>
      </c>
      <c r="C77" s="2312"/>
      <c r="D77" s="2315"/>
      <c r="E77" s="2302"/>
      <c r="F77" s="2300"/>
      <c r="G77" s="2300"/>
      <c r="H77" s="2300"/>
      <c r="I77" s="2303">
        <f>$C75*$E$71*VLOOKUP($B77,'[3]Standard values'!$C$9:$S$156,7, FALSE)/$E$220</f>
        <v>0</v>
      </c>
      <c r="J77" s="2303">
        <f>$C75*$E$71*VLOOKUP($B77,'[3]Standard values'!$C$9:$S$156,8, FALSE)/$E$220</f>
        <v>1.6218760908791419E-4</v>
      </c>
      <c r="K77" s="2303">
        <f>$C75*$E$71*VLOOKUP($B77,'[3]Standard values'!$C$9:$S$156,9, FALSE)/$E$220</f>
        <v>6.4875043635165676E-5</v>
      </c>
      <c r="L77" s="2311">
        <f>I77*'[3]Standard values'!$D$10+J77*'[3]Standard values'!$D$11+K77*'[3]Standard values'!$D$12</f>
        <v>2.3387453230477227E-2</v>
      </c>
      <c r="M77" s="2194"/>
      <c r="N77" s="2276">
        <f>L77/$E$72</f>
        <v>0.80308916323731039</v>
      </c>
      <c r="O77" s="2194"/>
    </row>
    <row r="78" spans="1:15" ht="14.25">
      <c r="A78" s="2214"/>
      <c r="B78" s="2313" t="s">
        <v>843</v>
      </c>
      <c r="C78" s="2281">
        <f>1/0.9</f>
        <v>1.1111111111111112</v>
      </c>
      <c r="D78" s="2300" t="s">
        <v>885</v>
      </c>
      <c r="E78" s="2302"/>
      <c r="F78" s="2300"/>
      <c r="G78" s="2300"/>
      <c r="H78" s="2300"/>
      <c r="I78" s="2303"/>
      <c r="J78" s="2314"/>
      <c r="K78" s="2314"/>
      <c r="L78" s="2311"/>
      <c r="M78" s="2194"/>
      <c r="N78" s="2285"/>
      <c r="O78" s="2194"/>
    </row>
    <row r="79" spans="1:15" ht="15.75">
      <c r="A79" s="2214"/>
      <c r="B79" s="2313" t="s">
        <v>1183</v>
      </c>
      <c r="C79" s="2312">
        <f>C78*C75</f>
        <v>6.1880810852004191E-2</v>
      </c>
      <c r="D79" s="2300" t="s">
        <v>116</v>
      </c>
      <c r="E79" s="2302"/>
      <c r="F79" s="2300"/>
      <c r="G79" s="2300"/>
      <c r="H79" s="2300"/>
      <c r="I79" s="2303">
        <f>$C79*$E$71*VLOOKUP($B79,'[3]Standard values'!$C$9:$S$159,7, FALSE)/$E$220</f>
        <v>4.0847922474445717</v>
      </c>
      <c r="J79" s="2303">
        <f>$C79*$E$71*VLOOKUP($B79,'[3]Standard values'!$C$9:$S$159,8, FALSE)/$E$220</f>
        <v>1.2854269062489912E-2</v>
      </c>
      <c r="K79" s="2303">
        <f>$C79*$E$71*VLOOKUP($B79,'[3]Standard values'!$C$9:$S$159,9, FALSE)/$E$220</f>
        <v>1.4416676363370153E-5</v>
      </c>
      <c r="L79" s="2311">
        <f>I79*'[3]Standard values'!$D$10+J79*'[3]Standard values'!$D$11+K79*'[3]Standard values'!$D$12</f>
        <v>4.4104451435631038</v>
      </c>
      <c r="M79" s="2194"/>
      <c r="N79" s="2276">
        <f>L79/$E$72</f>
        <v>151.44790092973614</v>
      </c>
      <c r="O79" s="2194"/>
    </row>
    <row r="80" spans="1:15" ht="14.25">
      <c r="A80" s="2214"/>
      <c r="B80" s="2313" t="s">
        <v>844</v>
      </c>
      <c r="C80" s="2281">
        <v>0.02</v>
      </c>
      <c r="D80" s="2300" t="s">
        <v>885</v>
      </c>
      <c r="E80" s="2302"/>
      <c r="F80" s="2300"/>
      <c r="G80" s="2300"/>
      <c r="H80" s="2300"/>
      <c r="I80" s="2303"/>
      <c r="J80" s="2314"/>
      <c r="K80" s="2314"/>
      <c r="L80" s="2311"/>
      <c r="M80" s="2194"/>
      <c r="N80" s="2276"/>
      <c r="O80" s="2194"/>
    </row>
    <row r="81" spans="1:15" ht="15.75">
      <c r="A81" s="2214"/>
      <c r="B81" s="2313" t="s">
        <v>1372</v>
      </c>
      <c r="C81" s="2312">
        <f>C80*C75</f>
        <v>1.1138545953360754E-3</v>
      </c>
      <c r="D81" s="2300" t="s">
        <v>116</v>
      </c>
      <c r="E81" s="2302"/>
      <c r="F81" s="2300"/>
      <c r="G81" s="2300"/>
      <c r="H81" s="2300"/>
      <c r="I81" s="2303">
        <f>$C81*$E$71*VLOOKUP($B81,'[3]Standard values'!$C$9:$S$159,7, FALSE)/$E$220</f>
        <v>0.13938526387598252</v>
      </c>
      <c r="J81" s="2303">
        <f>$C81*$E$71*VLOOKUP($B81,'[3]Standard values'!$C$9:$S$159,8, FALSE)/$E$220</f>
        <v>3.3991279112645059E-4</v>
      </c>
      <c r="K81" s="2303">
        <f>$C81*$E$71*VLOOKUP($B81,'[3]Standard values'!$C$9:$S$159,9, FALSE)/$E$220</f>
        <v>6.2928792326110703E-6</v>
      </c>
      <c r="L81" s="2311">
        <f>I81*'[3]Standard values'!$D$10+J81*'[3]Standard values'!$D$11+K81*'[3]Standard values'!$D$12</f>
        <v>0.14975836166546189</v>
      </c>
      <c r="M81" s="2194"/>
      <c r="N81" s="2276">
        <f>L81/$E$72</f>
        <v>5.1424717421124759</v>
      </c>
      <c r="O81" s="2194"/>
    </row>
    <row r="82" spans="1:15">
      <c r="A82" s="2214"/>
      <c r="B82" s="2307"/>
      <c r="C82" s="2278"/>
      <c r="D82" s="2278"/>
      <c r="E82" s="2214"/>
      <c r="F82" s="2212"/>
      <c r="G82" s="2212"/>
      <c r="H82" s="2212"/>
      <c r="I82" s="2212"/>
      <c r="J82" s="2212"/>
      <c r="K82" s="2212"/>
      <c r="L82" s="2275"/>
      <c r="M82" s="2194"/>
      <c r="N82" s="2276"/>
      <c r="O82" s="2194"/>
    </row>
    <row r="83" spans="1:15">
      <c r="A83" s="2214"/>
      <c r="B83" s="2265" t="s">
        <v>1167</v>
      </c>
      <c r="C83" s="2278"/>
      <c r="D83" s="2212"/>
      <c r="E83" s="2214"/>
      <c r="F83" s="2212"/>
      <c r="G83" s="2212"/>
      <c r="H83" s="2212"/>
      <c r="I83" s="2215"/>
      <c r="J83" s="2215"/>
      <c r="K83" s="2215"/>
      <c r="L83" s="2254"/>
      <c r="M83" s="2194"/>
      <c r="N83" s="2276"/>
      <c r="O83" s="2194"/>
    </row>
    <row r="84" spans="1:15" ht="15.75">
      <c r="A84" s="2214"/>
      <c r="B84" s="2325" t="s">
        <v>1355</v>
      </c>
      <c r="C84" s="2506">
        <v>4.3313580246913579E-3</v>
      </c>
      <c r="D84" s="2212" t="s">
        <v>116</v>
      </c>
      <c r="E84" s="2214"/>
      <c r="F84" s="2212"/>
      <c r="G84" s="2212"/>
      <c r="H84" s="2212"/>
      <c r="I84" s="2215">
        <f>$C84*$E$71*VLOOKUP($B84,'[3]Standard values'!$C$9:$S$159,7, FALSE)/$E$220</f>
        <v>0.36365360082304521</v>
      </c>
      <c r="J84" s="2215">
        <f>$C84*$E$71*VLOOKUP($B84,'[3]Standard values'!$C$9:$S$159,8, FALSE)/$E$220</f>
        <v>6.6095902473560777E-5</v>
      </c>
      <c r="K84" s="2215">
        <f>$C84*$E$71*VLOOKUP($B84,'[3]Standard values'!$C$9:$S$159,9, FALSE)/$E$220</f>
        <v>1.2613721846099385E-6</v>
      </c>
      <c r="L84" s="2254">
        <f>I84*'[3]Standard values'!$D$10+J84*'[3]Standard values'!$D$11+K84*'[3]Standard values'!$D$12</f>
        <v>0.36568188729589796</v>
      </c>
      <c r="M84" s="2194"/>
      <c r="N84" s="2276">
        <f>L84/$E$72</f>
        <v>12.55695342222222</v>
      </c>
      <c r="O84" s="2194"/>
    </row>
    <row r="85" spans="1:15">
      <c r="A85" s="2214"/>
      <c r="B85" s="2212"/>
      <c r="C85" s="2278"/>
      <c r="D85" s="2278"/>
      <c r="E85" s="2279"/>
      <c r="F85" s="2212"/>
      <c r="G85" s="2212"/>
      <c r="H85" s="2245" t="s">
        <v>151</v>
      </c>
      <c r="I85" s="2308">
        <f>SUM(I71:I84)</f>
        <v>6.0585859654556922</v>
      </c>
      <c r="J85" s="2308">
        <f>SUM(J71:J84)</f>
        <v>1.7009131368098319E-2</v>
      </c>
      <c r="K85" s="2308">
        <f>SUM(K71:K84)</f>
        <v>1.5324669711158406E-4</v>
      </c>
      <c r="L85" s="2240">
        <f>I85*'[3]Standard values'!$D$10+J85*'[3]Standard values'!$D$11+K85*'[3]Standard values'!$D$12</f>
        <v>6.529481765397402</v>
      </c>
      <c r="M85" s="2194"/>
      <c r="N85" s="2471">
        <f>L85/$E$72</f>
        <v>224.21235846718466</v>
      </c>
      <c r="O85" s="2194"/>
    </row>
    <row r="86" spans="1:15">
      <c r="A86" s="2214"/>
      <c r="B86" s="2307"/>
      <c r="C86" s="2278"/>
      <c r="D86" s="2278"/>
      <c r="E86" s="2214"/>
      <c r="F86" s="2212"/>
      <c r="G86" s="2212"/>
      <c r="H86" s="2212"/>
      <c r="I86" s="2212"/>
      <c r="J86" s="2212"/>
      <c r="K86" s="2212"/>
      <c r="L86" s="2275"/>
      <c r="M86" s="2194"/>
      <c r="N86" s="2471"/>
      <c r="O86" s="2194"/>
    </row>
    <row r="87" spans="1:15" ht="14.25">
      <c r="A87" s="2239"/>
      <c r="B87" s="2237"/>
      <c r="C87" s="2237"/>
      <c r="D87" s="2237"/>
      <c r="E87" s="2239"/>
      <c r="F87" s="2238"/>
      <c r="G87" s="2238"/>
      <c r="H87" s="2238" t="s">
        <v>241</v>
      </c>
      <c r="I87" s="2237"/>
      <c r="J87" s="2236" t="s">
        <v>97</v>
      </c>
      <c r="K87" s="2235"/>
      <c r="L87" s="2234">
        <f>L85</f>
        <v>6.529481765397402</v>
      </c>
      <c r="M87" s="2194"/>
      <c r="N87" s="2274">
        <f>L87/$E$72</f>
        <v>224.21235846718466</v>
      </c>
      <c r="O87" s="2194"/>
    </row>
    <row r="88" spans="1:15">
      <c r="A88" s="2193"/>
      <c r="B88" s="2193"/>
      <c r="C88" s="2193"/>
      <c r="D88" s="2193"/>
      <c r="E88" s="2193"/>
      <c r="F88" s="2233"/>
      <c r="G88" s="2233"/>
      <c r="H88" s="2233"/>
      <c r="I88" s="2193"/>
      <c r="J88" s="2232"/>
      <c r="K88" s="2231"/>
      <c r="L88" s="2294"/>
      <c r="M88" s="2194"/>
      <c r="N88" s="2193"/>
      <c r="O88" s="2193"/>
    </row>
    <row r="89" spans="1:15">
      <c r="A89" s="2193"/>
      <c r="B89" s="2193"/>
      <c r="C89" s="2193"/>
      <c r="D89" s="2193"/>
      <c r="E89" s="2193"/>
      <c r="F89" s="2233"/>
      <c r="G89" s="2233"/>
      <c r="H89" s="2233"/>
      <c r="I89" s="2193"/>
      <c r="J89" s="2232"/>
      <c r="K89" s="2231"/>
      <c r="L89" s="2294"/>
      <c r="M89" s="2194"/>
      <c r="N89" s="2193"/>
      <c r="O89" s="2193"/>
    </row>
    <row r="90" spans="1:15" ht="15.75">
      <c r="A90" s="2229" t="s">
        <v>150</v>
      </c>
      <c r="B90" s="2228"/>
      <c r="C90" s="2228"/>
      <c r="D90" s="2228"/>
      <c r="E90" s="2225" t="s">
        <v>149</v>
      </c>
      <c r="F90" s="2226"/>
      <c r="G90" s="2226"/>
      <c r="H90" s="2226"/>
      <c r="I90" s="2224"/>
      <c r="J90" s="2225" t="s">
        <v>97</v>
      </c>
      <c r="K90" s="2224"/>
      <c r="L90" s="2223">
        <f>L44+L55+L65+L87</f>
        <v>56.169260408083346</v>
      </c>
      <c r="M90" s="2194"/>
      <c r="N90" s="2193"/>
      <c r="O90" s="2193"/>
    </row>
    <row r="91" spans="1:15" ht="15.75">
      <c r="A91" s="2222" t="s">
        <v>148</v>
      </c>
      <c r="B91" s="2221"/>
      <c r="C91" s="2221"/>
      <c r="D91" s="2221"/>
      <c r="E91" s="2220"/>
      <c r="F91" s="2220"/>
      <c r="G91" s="2220"/>
      <c r="H91" s="2220"/>
      <c r="I91" s="2220"/>
      <c r="J91" s="2220"/>
      <c r="K91" s="2220"/>
      <c r="L91" s="2219"/>
      <c r="M91" s="2194"/>
      <c r="N91" s="2511" t="s">
        <v>258</v>
      </c>
      <c r="O91" s="2193"/>
    </row>
    <row r="92" spans="1:15" ht="15.75">
      <c r="A92" s="2302"/>
      <c r="B92" s="2300"/>
      <c r="C92" s="2300"/>
      <c r="D92" s="2304"/>
      <c r="E92" s="2304"/>
      <c r="F92" s="2304"/>
      <c r="G92" s="2304"/>
      <c r="H92" s="2304" t="s">
        <v>147</v>
      </c>
      <c r="I92" s="2305">
        <f>L90</f>
        <v>56.169260408083346</v>
      </c>
      <c r="J92" s="2300" t="s">
        <v>1120</v>
      </c>
      <c r="K92" s="2300"/>
      <c r="L92" s="2299"/>
      <c r="M92" s="2194"/>
      <c r="N92" s="2280" t="s">
        <v>124</v>
      </c>
      <c r="O92" s="2193"/>
    </row>
    <row r="93" spans="1:15" ht="15.75">
      <c r="A93" s="2302"/>
      <c r="B93" s="2300" t="s">
        <v>146</v>
      </c>
      <c r="C93" s="2300" t="s">
        <v>1166</v>
      </c>
      <c r="D93" s="2300"/>
      <c r="E93" s="2304" t="s">
        <v>123</v>
      </c>
      <c r="F93" s="2510">
        <v>1</v>
      </c>
      <c r="G93" s="2510"/>
      <c r="H93" s="2300" t="s">
        <v>265</v>
      </c>
      <c r="I93" s="2303">
        <f>$I$92*F93/F$95</f>
        <v>34.403789982769915</v>
      </c>
      <c r="J93" s="2300" t="s">
        <v>1120</v>
      </c>
      <c r="K93" s="2300"/>
      <c r="L93" s="2299"/>
      <c r="M93" s="2194"/>
      <c r="N93" s="2258" t="s">
        <v>1456</v>
      </c>
      <c r="O93" s="2193"/>
    </row>
    <row r="94" spans="1:15" ht="15.75">
      <c r="A94" s="2302"/>
      <c r="B94" s="2300" t="s">
        <v>144</v>
      </c>
      <c r="C94" s="2300" t="s">
        <v>1118</v>
      </c>
      <c r="D94" s="2300"/>
      <c r="E94" s="2304" t="s">
        <v>122</v>
      </c>
      <c r="F94" s="2510">
        <f>C71/C70</f>
        <v>0.63264746227709201</v>
      </c>
      <c r="G94" s="2510"/>
      <c r="H94" s="2300" t="s">
        <v>265</v>
      </c>
      <c r="I94" s="2303">
        <f>$I$92*F94/F$95</f>
        <v>21.765470425313428</v>
      </c>
      <c r="J94" s="2300" t="s">
        <v>1120</v>
      </c>
      <c r="K94" s="2300"/>
      <c r="L94" s="2299"/>
      <c r="M94" s="2194"/>
      <c r="N94" s="2275"/>
      <c r="O94" s="2193"/>
    </row>
    <row r="95" spans="1:15">
      <c r="A95" s="2302"/>
      <c r="B95" s="2300"/>
      <c r="C95" s="2300"/>
      <c r="D95" s="2300"/>
      <c r="E95" s="2300" t="s">
        <v>266</v>
      </c>
      <c r="F95" s="2510">
        <f>SUM(F93:F94)</f>
        <v>1.6326474622770921</v>
      </c>
      <c r="G95" s="2510"/>
      <c r="H95" s="2300" t="s">
        <v>265</v>
      </c>
      <c r="I95" s="2300"/>
      <c r="J95" s="2300"/>
      <c r="K95" s="2300"/>
      <c r="L95" s="2299"/>
      <c r="M95" s="2194"/>
      <c r="N95" s="2275"/>
      <c r="O95" s="2193"/>
    </row>
    <row r="96" spans="1:15" ht="14.25">
      <c r="A96" s="2239"/>
      <c r="B96" s="2237"/>
      <c r="C96" s="2237"/>
      <c r="D96" s="2237"/>
      <c r="E96" s="2236" t="s">
        <v>264</v>
      </c>
      <c r="F96" s="2238"/>
      <c r="G96" s="2238"/>
      <c r="H96" s="2196"/>
      <c r="I96" s="2237"/>
      <c r="J96" s="2236" t="s">
        <v>97</v>
      </c>
      <c r="K96" s="2196"/>
      <c r="L96" s="2234">
        <f>I93</f>
        <v>34.403789982769915</v>
      </c>
      <c r="M96" s="2194"/>
      <c r="N96" s="2274">
        <f>L96/$E$72</f>
        <v>1181.3732191006532</v>
      </c>
      <c r="O96" s="2194"/>
    </row>
    <row r="97" spans="1:15">
      <c r="A97" s="2193"/>
      <c r="B97" s="2193"/>
      <c r="C97" s="2193"/>
      <c r="D97" s="2194"/>
      <c r="E97" s="2194"/>
      <c r="F97" s="2231"/>
      <c r="G97" s="2231"/>
      <c r="H97" s="2298"/>
      <c r="I97" s="2297"/>
      <c r="J97" s="2194"/>
      <c r="K97" s="2194"/>
      <c r="L97" s="2296"/>
      <c r="M97" s="2194"/>
      <c r="O97" s="2194"/>
    </row>
    <row r="98" spans="1:15">
      <c r="A98" s="2193"/>
      <c r="B98" s="2193"/>
      <c r="C98" s="2193"/>
      <c r="D98" s="2194"/>
      <c r="E98" s="2194"/>
      <c r="F98" s="2231"/>
      <c r="G98" s="2231"/>
      <c r="H98" s="2298"/>
      <c r="I98" s="2297"/>
      <c r="J98" s="2194"/>
      <c r="K98" s="2194"/>
      <c r="L98" s="2296"/>
      <c r="M98" s="2194"/>
      <c r="N98" s="2194"/>
      <c r="O98" s="2194"/>
    </row>
    <row r="99" spans="1:15" ht="15.75">
      <c r="A99" s="2229" t="s">
        <v>121</v>
      </c>
      <c r="B99" s="2228"/>
      <c r="C99" s="2228"/>
      <c r="D99" s="2228"/>
      <c r="E99" s="2229" t="s">
        <v>239</v>
      </c>
      <c r="F99" s="2227"/>
      <c r="G99" s="2227"/>
      <c r="H99" s="2228"/>
      <c r="I99" s="2227" t="s">
        <v>261</v>
      </c>
      <c r="J99" s="2291"/>
      <c r="K99" s="2291"/>
      <c r="L99" s="2290"/>
      <c r="M99" s="2194"/>
      <c r="N99" s="2282" t="s">
        <v>258</v>
      </c>
      <c r="O99" s="2194"/>
    </row>
    <row r="100" spans="1:15">
      <c r="A100" s="2214"/>
      <c r="B100" s="2265" t="s">
        <v>1428</v>
      </c>
      <c r="C100" s="2212"/>
      <c r="D100" s="2212"/>
      <c r="E100" s="2326"/>
      <c r="F100" s="2278"/>
      <c r="G100" s="2278"/>
      <c r="H100" s="2212"/>
      <c r="I100" s="2246" t="s">
        <v>1165</v>
      </c>
      <c r="J100" s="2245"/>
      <c r="K100" s="2245"/>
      <c r="L100" s="2244"/>
      <c r="M100" s="2194"/>
      <c r="N100" s="2280" t="s">
        <v>120</v>
      </c>
      <c r="O100" s="2194"/>
    </row>
    <row r="101" spans="1:15" ht="15.75">
      <c r="A101" s="2214"/>
      <c r="B101" s="2212" t="s">
        <v>1166</v>
      </c>
      <c r="C101" s="2281">
        <v>0.96</v>
      </c>
      <c r="D101" s="2212" t="s">
        <v>119</v>
      </c>
      <c r="E101" s="2326">
        <f>E70*C101</f>
        <v>43067.015659079414</v>
      </c>
      <c r="F101" s="2278" t="s">
        <v>118</v>
      </c>
      <c r="G101" s="2278"/>
      <c r="H101" s="2212"/>
      <c r="I101" s="2243" t="s">
        <v>1453</v>
      </c>
      <c r="J101" s="2243" t="s">
        <v>1454</v>
      </c>
      <c r="K101" s="2243" t="s">
        <v>245</v>
      </c>
      <c r="L101" s="2258" t="s">
        <v>1456</v>
      </c>
      <c r="M101" s="2194"/>
      <c r="N101" s="2258" t="s">
        <v>1456</v>
      </c>
      <c r="O101" s="2194"/>
    </row>
    <row r="102" spans="1:15" ht="15.75">
      <c r="A102" s="2324"/>
      <c r="B102" s="2278"/>
      <c r="C102" s="2323"/>
      <c r="D102" s="2278"/>
      <c r="E102" s="2279">
        <f>E71*C101</f>
        <v>0.58218021432457467</v>
      </c>
      <c r="F102" s="2278" t="s">
        <v>1109</v>
      </c>
      <c r="G102" s="2278"/>
      <c r="H102" s="2212"/>
      <c r="I102" s="2212"/>
      <c r="J102" s="2212"/>
      <c r="K102" s="2212"/>
      <c r="L102" s="2275"/>
      <c r="M102" s="2194"/>
      <c r="N102" s="2275"/>
      <c r="O102" s="2194"/>
    </row>
    <row r="103" spans="1:15" ht="15.75">
      <c r="A103" s="2324"/>
      <c r="B103" s="2265" t="s">
        <v>1429</v>
      </c>
      <c r="C103" s="2212"/>
      <c r="D103" s="2278"/>
      <c r="E103" s="2509">
        <f>E101/$E$219/VLOOKUP($B70,'[3]Standard values'!$C$9:$S$159,14, FALSE)</f>
        <v>2.7956989247311825E-2</v>
      </c>
      <c r="F103" s="2278" t="s">
        <v>117</v>
      </c>
      <c r="G103" s="2278"/>
      <c r="H103" s="2212"/>
      <c r="I103" s="2212"/>
      <c r="J103" s="2212"/>
      <c r="K103" s="2212"/>
      <c r="L103" s="2275"/>
      <c r="M103" s="2194"/>
      <c r="N103" s="2275"/>
      <c r="O103" s="2194"/>
    </row>
    <row r="104" spans="1:15" ht="15.75">
      <c r="A104" s="2214"/>
      <c r="B104" s="2212" t="s">
        <v>1372</v>
      </c>
      <c r="C104" s="2506">
        <f>1.4*0.0006</f>
        <v>8.3999999999999993E-4</v>
      </c>
      <c r="D104" s="2212" t="s">
        <v>116</v>
      </c>
      <c r="E104" s="2266"/>
      <c r="F104" s="2212"/>
      <c r="G104" s="2212"/>
      <c r="H104" s="2212"/>
      <c r="I104" s="2215">
        <f>$C104*$E$102*VLOOKUP($B104,'[3]Standard values'!$C$9:$S$159,7, FALSE)/$E$220</f>
        <v>0.10091108593548384</v>
      </c>
      <c r="J104" s="2215">
        <f>$C104*$E$102*VLOOKUP($B104,'[3]Standard values'!$C$9:$S$159,8, FALSE)/$E$220</f>
        <v>2.4608748387096768E-4</v>
      </c>
      <c r="K104" s="2215">
        <f>$C104*$E$102*VLOOKUP($B104,'[3]Standard values'!$C$9:$S$159,9, FALSE)/$E$220</f>
        <v>4.5558709677419341E-6</v>
      </c>
      <c r="L104" s="2254">
        <f>I104*'[3]Standard values'!$D$10+J104*'[3]Standard values'!$D$11+K104*'[3]Standard values'!$D$12</f>
        <v>0.10842092258064513</v>
      </c>
      <c r="M104" s="2194"/>
      <c r="N104" s="2285">
        <f>L104/$E$103</f>
        <v>3.8781329999999992</v>
      </c>
      <c r="O104" s="2194"/>
    </row>
    <row r="105" spans="1:15" ht="15.75">
      <c r="A105" s="2214"/>
      <c r="B105" s="2212" t="s">
        <v>842</v>
      </c>
      <c r="C105" s="2506">
        <f>1.4*0.00822222222222222</f>
        <v>1.1511111111111106E-2</v>
      </c>
      <c r="D105" s="2212" t="s">
        <v>116</v>
      </c>
      <c r="E105" s="2214"/>
      <c r="F105" s="2212"/>
      <c r="G105" s="2212"/>
      <c r="H105" s="2212"/>
      <c r="I105" s="2215"/>
      <c r="J105" s="2215"/>
      <c r="K105" s="2215"/>
      <c r="L105" s="2254"/>
      <c r="M105" s="2194"/>
      <c r="N105" s="2285"/>
      <c r="O105" s="2194"/>
    </row>
    <row r="106" spans="1:15">
      <c r="A106" s="2214"/>
      <c r="B106" s="2319" t="s">
        <v>936</v>
      </c>
      <c r="C106" s="2315"/>
      <c r="D106" s="2315"/>
      <c r="E106" s="2302"/>
      <c r="F106" s="2300"/>
      <c r="G106" s="2300"/>
      <c r="H106" s="2300"/>
      <c r="I106" s="2318" t="s">
        <v>845</v>
      </c>
      <c r="J106" s="2300"/>
      <c r="K106" s="2300"/>
      <c r="L106" s="2317"/>
      <c r="M106" s="2194"/>
      <c r="N106" s="2285"/>
      <c r="O106" s="2194"/>
    </row>
    <row r="107" spans="1:15" ht="15.75">
      <c r="A107" s="2214"/>
      <c r="B107" s="2316" t="s">
        <v>152</v>
      </c>
      <c r="C107" s="2312"/>
      <c r="D107" s="2315"/>
      <c r="E107" s="2302"/>
      <c r="F107" s="2300"/>
      <c r="G107" s="2300"/>
      <c r="H107" s="2300"/>
      <c r="I107" s="2303">
        <f>$C105*$E$102*VLOOKUP($B107,'[3]Standard values'!$C$9:$S$156,7, FALSE)/$E$220</f>
        <v>0</v>
      </c>
      <c r="J107" s="2303">
        <f>$C105*$E$102*VLOOKUP($B107,'[3]Standard values'!$C$9:$S$156,8, FALSE)/$E$220</f>
        <v>3.2181600955794489E-5</v>
      </c>
      <c r="K107" s="2303">
        <f>$C105*$E$102*VLOOKUP($B107,'[3]Standard values'!$C$9:$S$156,9, FALSE)/$E$220</f>
        <v>1.2872640382317794E-5</v>
      </c>
      <c r="L107" s="2311">
        <f>I107*'[3]Standard values'!$D$10+J107*'[3]Standard values'!$D$11+K107*'[3]Standard values'!$D$12</f>
        <v>4.6405868578255653E-3</v>
      </c>
      <c r="M107" s="2194"/>
      <c r="N107" s="2285">
        <f>L107/$E$103</f>
        <v>0.16599022222222215</v>
      </c>
      <c r="O107" s="2194"/>
    </row>
    <row r="108" spans="1:15" ht="14.25">
      <c r="A108" s="2214"/>
      <c r="B108" s="2313" t="s">
        <v>843</v>
      </c>
      <c r="C108" s="2281">
        <f>1/0.9</f>
        <v>1.1111111111111112</v>
      </c>
      <c r="D108" s="2300" t="s">
        <v>885</v>
      </c>
      <c r="E108" s="2302"/>
      <c r="F108" s="2300"/>
      <c r="G108" s="2300"/>
      <c r="H108" s="2300"/>
      <c r="I108" s="2303"/>
      <c r="J108" s="2314"/>
      <c r="K108" s="2314"/>
      <c r="L108" s="2311"/>
      <c r="M108" s="2194"/>
      <c r="N108" s="2285"/>
      <c r="O108" s="2194"/>
    </row>
    <row r="109" spans="1:15" ht="15.75">
      <c r="A109" s="2214"/>
      <c r="B109" s="2313" t="s">
        <v>1183</v>
      </c>
      <c r="C109" s="2312">
        <f>C108*C105</f>
        <v>1.2790123456790118E-2</v>
      </c>
      <c r="D109" s="2300" t="s">
        <v>116</v>
      </c>
      <c r="E109" s="2302"/>
      <c r="F109" s="2300"/>
      <c r="G109" s="2300"/>
      <c r="H109" s="2300"/>
      <c r="I109" s="2303">
        <f>$C109*$E$102*VLOOKUP($B109,'[3]Standard values'!$C$9:$S$159,7, FALSE)/$E$220</f>
        <v>0.81051292903225769</v>
      </c>
      <c r="J109" s="2303">
        <f>$C109*$E$102*VLOOKUP($B109,'[3]Standard values'!$C$9:$S$159,8, FALSE)/$E$220</f>
        <v>2.55057066241869E-3</v>
      </c>
      <c r="K109" s="2303">
        <f>$C109*$E$102*VLOOKUP($B109,'[3]Standard values'!$C$9:$S$159,9, FALSE)/$E$220</f>
        <v>2.8605867516261772E-6</v>
      </c>
      <c r="L109" s="2311">
        <f>I109*'[3]Standard values'!$D$10+J109*'[3]Standard values'!$D$11+K109*'[3]Standard values'!$D$12</f>
        <v>0.87512965044470958</v>
      </c>
      <c r="M109" s="2194"/>
      <c r="N109" s="2285">
        <f>L109/$E$103</f>
        <v>31.302714419753077</v>
      </c>
      <c r="O109" s="2194"/>
    </row>
    <row r="110" spans="1:15" ht="14.25">
      <c r="A110" s="2214"/>
      <c r="B110" s="2313" t="s">
        <v>844</v>
      </c>
      <c r="C110" s="2281">
        <v>0.02</v>
      </c>
      <c r="D110" s="2300" t="s">
        <v>885</v>
      </c>
      <c r="E110" s="2302"/>
      <c r="F110" s="2300"/>
      <c r="G110" s="2300"/>
      <c r="H110" s="2300"/>
      <c r="I110" s="2303"/>
      <c r="J110" s="2314"/>
      <c r="K110" s="2314"/>
      <c r="L110" s="2311"/>
      <c r="M110" s="2194"/>
      <c r="N110" s="2285"/>
      <c r="O110" s="2194"/>
    </row>
    <row r="111" spans="1:15" ht="15.75">
      <c r="A111" s="2214"/>
      <c r="B111" s="2313" t="s">
        <v>1372</v>
      </c>
      <c r="C111" s="2312">
        <f>C110*C105</f>
        <v>2.3022222222222213E-4</v>
      </c>
      <c r="D111" s="2300" t="s">
        <v>116</v>
      </c>
      <c r="E111" s="2302"/>
      <c r="F111" s="2300"/>
      <c r="G111" s="2300"/>
      <c r="H111" s="2300"/>
      <c r="I111" s="2303">
        <f>$C111*$E$102*VLOOKUP($B111,'[3]Standard values'!$C$9:$S$159,7, FALSE)/$E$220</f>
        <v>2.7657112441577047E-2</v>
      </c>
      <c r="J111" s="2303">
        <f>$C111*$E$102*VLOOKUP($B111,'[3]Standard values'!$C$9:$S$159,8, FALSE)/$E$220</f>
        <v>6.7446199283154097E-5</v>
      </c>
      <c r="K111" s="2303">
        <f>$C111*$E$102*VLOOKUP($B111,'[3]Standard values'!$C$9:$S$159,9, FALSE)/$E$220</f>
        <v>1.2486461170848262E-6</v>
      </c>
      <c r="L111" s="2311">
        <f>I111*'[3]Standard values'!$D$10+J111*'[3]Standard values'!$D$11+K111*'[3]Standard values'!$D$12</f>
        <v>2.9715363966547177E-2</v>
      </c>
      <c r="M111" s="2194"/>
      <c r="N111" s="2285">
        <f>L111/$E$103</f>
        <v>1.0628957111111106</v>
      </c>
      <c r="O111" s="2194"/>
    </row>
    <row r="112" spans="1:15">
      <c r="A112" s="2214"/>
      <c r="B112" s="2212"/>
      <c r="C112" s="2278"/>
      <c r="D112" s="2212"/>
      <c r="E112" s="2214"/>
      <c r="F112" s="2212"/>
      <c r="G112" s="2212"/>
      <c r="H112" s="2212"/>
      <c r="I112" s="2215"/>
      <c r="J112" s="2215"/>
      <c r="K112" s="2215"/>
      <c r="L112" s="2254"/>
      <c r="M112" s="2194"/>
      <c r="N112" s="2285"/>
      <c r="O112" s="2194"/>
    </row>
    <row r="113" spans="1:15">
      <c r="A113" s="2214"/>
      <c r="B113" s="2265" t="s">
        <v>1167</v>
      </c>
      <c r="C113" s="2278"/>
      <c r="D113" s="2212"/>
      <c r="E113" s="2214"/>
      <c r="F113" s="2212"/>
      <c r="G113" s="2212"/>
      <c r="H113" s="2212"/>
      <c r="I113" s="2215"/>
      <c r="J113" s="2215"/>
      <c r="K113" s="2215"/>
      <c r="L113" s="2254"/>
      <c r="M113" s="2194"/>
      <c r="N113" s="2285"/>
      <c r="O113" s="2194"/>
    </row>
    <row r="114" spans="1:15" ht="15.75">
      <c r="A114" s="2214"/>
      <c r="B114" s="2325" t="s">
        <v>1132</v>
      </c>
      <c r="C114" s="2506">
        <f>1.4*0.000166666666666667</f>
        <v>2.3333333333333379E-4</v>
      </c>
      <c r="D114" s="2212" t="s">
        <v>115</v>
      </c>
      <c r="E114" s="2214"/>
      <c r="F114" s="2212"/>
      <c r="G114" s="2212"/>
      <c r="H114" s="2212"/>
      <c r="I114" s="2215">
        <f>$C114*$E$102*VLOOKUP($B114,'[3]Standard values'!$C$9:$S$159,3, FALSE)/$E$220</f>
        <v>4.6263225806451702E-2</v>
      </c>
      <c r="J114" s="2215">
        <f>$C114*$E$102*VLOOKUP($B114,'[3]Standard values'!$C$9:$S$159,4, FALSE)/$E$220</f>
        <v>8.7594838709677587E-6</v>
      </c>
      <c r="K114" s="2215">
        <f>$C114*$E$102*VLOOKUP($B114,'[3]Standard values'!$C$9:$S$159,5, FALSE)/$E$220</f>
        <v>1.4794838709677448E-6</v>
      </c>
      <c r="L114" s="2254">
        <f>I114*'[3]Standard values'!$D$10+J114*'[3]Standard values'!$D$11+K114*'[3]Standard values'!$D$12</f>
        <v>4.6923099096774286E-2</v>
      </c>
      <c r="M114" s="2194"/>
      <c r="N114" s="2285">
        <f>L114/$E$103</f>
        <v>1.6784031600000036</v>
      </c>
      <c r="O114" s="2194"/>
    </row>
    <row r="115" spans="1:15">
      <c r="A115" s="2214"/>
      <c r="B115" s="2307"/>
      <c r="C115" s="2278"/>
      <c r="D115" s="2278"/>
      <c r="E115" s="2279"/>
      <c r="F115" s="2212"/>
      <c r="G115" s="2212"/>
      <c r="H115" s="2245" t="s">
        <v>151</v>
      </c>
      <c r="I115" s="2308">
        <f>SUM(I102:I114)</f>
        <v>0.9853443532157703</v>
      </c>
      <c r="J115" s="2308">
        <f>SUM(J102:J114)</f>
        <v>2.9050454303995743E-3</v>
      </c>
      <c r="K115" s="2308">
        <f>SUM(K102:K114)</f>
        <v>2.3017228089738476E-5</v>
      </c>
      <c r="L115" s="2240">
        <f>I115*'[3]Standard values'!$D$10+J115*'[3]Standard values'!$D$11+K115*'[3]Standard values'!$D$12</f>
        <v>1.0648296229465017</v>
      </c>
      <c r="M115" s="2194"/>
      <c r="N115" s="2274">
        <f>L115/$E$103</f>
        <v>38.088136513086411</v>
      </c>
      <c r="O115" s="2194"/>
    </row>
    <row r="116" spans="1:15">
      <c r="A116" s="2214"/>
      <c r="B116" s="2307"/>
      <c r="C116" s="2278"/>
      <c r="D116" s="2278"/>
      <c r="E116" s="2214"/>
      <c r="F116" s="2212"/>
      <c r="G116" s="2212"/>
      <c r="H116" s="2212"/>
      <c r="I116" s="2212"/>
      <c r="J116" s="2212"/>
      <c r="K116" s="2212"/>
      <c r="L116" s="2275"/>
      <c r="M116" s="2194"/>
      <c r="N116" s="2193"/>
      <c r="O116" s="2194"/>
    </row>
    <row r="117" spans="1:15" ht="14.25">
      <c r="A117" s="2239"/>
      <c r="B117" s="2237"/>
      <c r="C117" s="2237"/>
      <c r="D117" s="2237"/>
      <c r="E117" s="2239"/>
      <c r="F117" s="2238"/>
      <c r="G117" s="2238"/>
      <c r="H117" s="2238" t="s">
        <v>241</v>
      </c>
      <c r="I117" s="2237"/>
      <c r="J117" s="2236" t="s">
        <v>97</v>
      </c>
      <c r="K117" s="2235"/>
      <c r="L117" s="2234">
        <f>L115</f>
        <v>1.0648296229465017</v>
      </c>
      <c r="M117" s="2194"/>
      <c r="N117" s="2193"/>
      <c r="O117" s="2194"/>
    </row>
    <row r="118" spans="1:15">
      <c r="A118" s="2193"/>
      <c r="B118" s="2193"/>
      <c r="C118" s="2193"/>
      <c r="D118" s="2194"/>
      <c r="E118" s="2194"/>
      <c r="F118" s="2231"/>
      <c r="G118" s="2231"/>
      <c r="H118" s="2298"/>
      <c r="I118" s="2297"/>
      <c r="J118" s="2194"/>
      <c r="K118" s="2194"/>
      <c r="L118" s="2296"/>
      <c r="M118" s="2194"/>
      <c r="N118" s="2194"/>
      <c r="O118" s="2194"/>
    </row>
    <row r="119" spans="1:15">
      <c r="A119" s="2193"/>
      <c r="B119" s="2193"/>
      <c r="C119" s="2193"/>
      <c r="D119" s="2194"/>
      <c r="E119" s="2194"/>
      <c r="F119" s="2231"/>
      <c r="G119" s="2231"/>
      <c r="H119" s="2298"/>
      <c r="I119" s="2297"/>
      <c r="J119" s="2194"/>
      <c r="K119" s="2194"/>
      <c r="L119" s="2296"/>
      <c r="M119" s="2194"/>
      <c r="N119" s="2194"/>
      <c r="O119" s="2194"/>
    </row>
    <row r="120" spans="1:15" ht="15.75">
      <c r="A120" s="2229" t="s">
        <v>114</v>
      </c>
      <c r="B120" s="2228"/>
      <c r="C120" s="2228"/>
      <c r="D120" s="2228"/>
      <c r="E120" s="2229" t="s">
        <v>239</v>
      </c>
      <c r="F120" s="2227"/>
      <c r="G120" s="2227"/>
      <c r="H120" s="2228"/>
      <c r="I120" s="2227" t="s">
        <v>261</v>
      </c>
      <c r="J120" s="2291"/>
      <c r="K120" s="2291"/>
      <c r="L120" s="2290"/>
      <c r="M120" s="2194"/>
      <c r="N120" s="2282" t="s">
        <v>258</v>
      </c>
      <c r="O120" s="2194"/>
    </row>
    <row r="121" spans="1:15">
      <c r="A121" s="2214"/>
      <c r="B121" s="2265" t="s">
        <v>1428</v>
      </c>
      <c r="C121" s="2212"/>
      <c r="D121" s="2212"/>
      <c r="E121" s="2326"/>
      <c r="F121" s="2278"/>
      <c r="G121" s="2278"/>
      <c r="H121" s="2212"/>
      <c r="I121" s="2246" t="s">
        <v>1165</v>
      </c>
      <c r="J121" s="2245"/>
      <c r="K121" s="2245"/>
      <c r="L121" s="2244"/>
      <c r="M121" s="2194"/>
      <c r="N121" s="2280" t="s">
        <v>102</v>
      </c>
      <c r="O121" s="2194"/>
    </row>
    <row r="122" spans="1:15" ht="15.75">
      <c r="A122" s="2214"/>
      <c r="B122" s="2212" t="s">
        <v>1479</v>
      </c>
      <c r="C122" s="2506">
        <v>0.99358974358974361</v>
      </c>
      <c r="D122" s="2212" t="s">
        <v>113</v>
      </c>
      <c r="E122" s="2326">
        <f>E101*C122</f>
        <v>42790.945045880188</v>
      </c>
      <c r="F122" s="2278" t="s">
        <v>99</v>
      </c>
      <c r="G122" s="2278"/>
      <c r="H122" s="2212"/>
      <c r="I122" s="2243" t="s">
        <v>1453</v>
      </c>
      <c r="J122" s="2243" t="s">
        <v>1454</v>
      </c>
      <c r="K122" s="2243" t="s">
        <v>245</v>
      </c>
      <c r="L122" s="2258" t="s">
        <v>1456</v>
      </c>
      <c r="M122" s="2194"/>
      <c r="N122" s="2258" t="s">
        <v>1456</v>
      </c>
      <c r="O122" s="2194"/>
    </row>
    <row r="123" spans="1:15" ht="15.75">
      <c r="A123" s="2324"/>
      <c r="B123" s="2212" t="s">
        <v>1200</v>
      </c>
      <c r="C123" s="2347">
        <v>105.6</v>
      </c>
      <c r="D123" s="2325" t="s">
        <v>112</v>
      </c>
      <c r="E123" s="2279">
        <f>E102*C122</f>
        <v>0.57844828987377617</v>
      </c>
      <c r="F123" s="2278" t="s">
        <v>1109</v>
      </c>
      <c r="G123" s="2278"/>
      <c r="H123" s="2212"/>
      <c r="I123" s="2212"/>
      <c r="J123" s="2212"/>
      <c r="K123" s="2212"/>
      <c r="L123" s="2275"/>
      <c r="M123" s="2194"/>
      <c r="N123" s="2275"/>
      <c r="O123" s="2194"/>
    </row>
    <row r="124" spans="1:15" ht="15.75">
      <c r="A124" s="2324"/>
      <c r="B124" s="2278"/>
      <c r="C124" s="2323"/>
      <c r="D124" s="2278"/>
      <c r="E124" s="2509">
        <f>E122/$E$219/VLOOKUP($B122,'[3]Standard values'!$C$9:$S$159,14, FALSE)</f>
        <v>2.6881720430107524E-2</v>
      </c>
      <c r="F124" s="2278" t="s">
        <v>111</v>
      </c>
      <c r="G124" s="2278"/>
      <c r="H124" s="2212"/>
      <c r="I124" s="2212"/>
      <c r="J124" s="2212"/>
      <c r="K124" s="2212"/>
      <c r="L124" s="2275"/>
      <c r="M124" s="2194"/>
      <c r="N124" s="2285"/>
      <c r="O124" s="2194"/>
    </row>
    <row r="125" spans="1:15">
      <c r="A125" s="2214"/>
      <c r="B125" s="2265" t="s">
        <v>1429</v>
      </c>
      <c r="C125" s="2212"/>
      <c r="D125" s="2212"/>
      <c r="E125" s="2266"/>
      <c r="F125" s="2212"/>
      <c r="G125" s="2212"/>
      <c r="H125" s="2212"/>
      <c r="I125" s="2212"/>
      <c r="J125" s="2212"/>
      <c r="K125" s="2212"/>
      <c r="L125" s="2275"/>
      <c r="M125" s="2194"/>
      <c r="N125" s="2285"/>
      <c r="O125" s="2194"/>
    </row>
    <row r="126" spans="1:15" ht="15.75">
      <c r="A126" s="2214"/>
      <c r="B126" s="2212" t="s">
        <v>1372</v>
      </c>
      <c r="C126" s="2506">
        <f>1.4*0.00290322580645161</f>
        <v>4.0645161290322543E-3</v>
      </c>
      <c r="D126" s="2212" t="s">
        <v>101</v>
      </c>
      <c r="E126" s="2214"/>
      <c r="F126" s="2212"/>
      <c r="G126" s="2212"/>
      <c r="H126" s="2212"/>
      <c r="I126" s="2215">
        <f>$C126*$E$123*VLOOKUP($B126,'[3]Standard values'!$C$9:$S$159,7, FALSE)/$E$220</f>
        <v>0.48514945161290279</v>
      </c>
      <c r="J126" s="2215">
        <f>$C126*$E$123*VLOOKUP($B126,'[3]Standard values'!$C$9:$S$159,8, FALSE)/$E$220</f>
        <v>1.1831129032258056E-3</v>
      </c>
      <c r="K126" s="2215">
        <f>$C126*$E$123*VLOOKUP($B126,'[3]Standard values'!$C$9:$S$159,9, FALSE)/$E$220</f>
        <v>2.1903225806451598E-5</v>
      </c>
      <c r="L126" s="2254">
        <f>I126*'[3]Standard values'!$D$10+J126*'[3]Standard values'!$D$11+K126*'[3]Standard values'!$D$12</f>
        <v>0.52125443548387052</v>
      </c>
      <c r="M126" s="2194"/>
      <c r="N126" s="2285">
        <f>L126/$E$124</f>
        <v>19.390664999999984</v>
      </c>
      <c r="O126" s="2194"/>
    </row>
    <row r="127" spans="1:15" ht="15.75">
      <c r="A127" s="2214"/>
      <c r="B127" s="2212" t="s">
        <v>842</v>
      </c>
      <c r="C127" s="2506">
        <f>1.4*0.0718477788639079</f>
        <v>0.10058689040947107</v>
      </c>
      <c r="D127" s="2212" t="s">
        <v>101</v>
      </c>
      <c r="E127" s="2214"/>
      <c r="F127" s="2212"/>
      <c r="G127" s="2212"/>
      <c r="H127" s="2212"/>
      <c r="I127" s="2215"/>
      <c r="J127" s="2215"/>
      <c r="K127" s="2215"/>
      <c r="L127" s="2254"/>
      <c r="M127" s="2194"/>
      <c r="N127" s="2285"/>
      <c r="O127" s="2194"/>
    </row>
    <row r="128" spans="1:15">
      <c r="A128" s="2214"/>
      <c r="B128" s="2319" t="s">
        <v>936</v>
      </c>
      <c r="C128" s="2315"/>
      <c r="D128" s="2315"/>
      <c r="E128" s="2302"/>
      <c r="F128" s="2300"/>
      <c r="G128" s="2300"/>
      <c r="H128" s="2300"/>
      <c r="I128" s="2318" t="s">
        <v>845</v>
      </c>
      <c r="J128" s="2300"/>
      <c r="K128" s="2300"/>
      <c r="L128" s="2508"/>
      <c r="M128" s="2194"/>
      <c r="N128" s="2285"/>
      <c r="O128" s="2194"/>
    </row>
    <row r="129" spans="1:15" ht="15.75">
      <c r="A129" s="2214"/>
      <c r="B129" s="2316" t="s">
        <v>152</v>
      </c>
      <c r="C129" s="2312"/>
      <c r="D129" s="2315"/>
      <c r="E129" s="2302"/>
      <c r="F129" s="2300"/>
      <c r="G129" s="2300"/>
      <c r="H129" s="2300"/>
      <c r="I129" s="2303">
        <f>$C127*$E$123*VLOOKUP($B129,'[3]Standard values'!$C$9:$S$156,7, FALSE)/$E$220</f>
        <v>0</v>
      </c>
      <c r="J129" s="2303">
        <f>$C127*$E$123*VLOOKUP($B129,'[3]Standard values'!$C$9:$S$156,8, FALSE)/$E$220</f>
        <v>2.7940802891519742E-4</v>
      </c>
      <c r="K129" s="2303">
        <f>$C127*$E$123*VLOOKUP($B129,'[3]Standard values'!$C$9:$S$156,9, FALSE)/$E$220</f>
        <v>1.1176321156607898E-4</v>
      </c>
      <c r="L129" s="2311">
        <f>I129*'[3]Standard values'!$D$10+J129*'[3]Standard values'!$D$11+K129*'[3]Standard values'!$D$12</f>
        <v>4.0290637769571466E-2</v>
      </c>
      <c r="M129" s="2194"/>
      <c r="N129" s="2285">
        <f>L129/$E$124</f>
        <v>1.4988117250280588</v>
      </c>
      <c r="O129" s="2194"/>
    </row>
    <row r="130" spans="1:15" ht="14.25">
      <c r="A130" s="2214"/>
      <c r="B130" s="2313" t="s">
        <v>843</v>
      </c>
      <c r="C130" s="2281">
        <f>1/0.9</f>
        <v>1.1111111111111112</v>
      </c>
      <c r="D130" s="2300" t="s">
        <v>885</v>
      </c>
      <c r="E130" s="2302"/>
      <c r="F130" s="2300"/>
      <c r="G130" s="2300"/>
      <c r="H130" s="2300"/>
      <c r="I130" s="2303"/>
      <c r="J130" s="2314"/>
      <c r="K130" s="2314"/>
      <c r="L130" s="2311"/>
      <c r="M130" s="2194"/>
      <c r="N130" s="2285"/>
      <c r="O130" s="2194"/>
    </row>
    <row r="131" spans="1:15" ht="15.75">
      <c r="A131" s="2214"/>
      <c r="B131" s="2313" t="s">
        <v>1183</v>
      </c>
      <c r="C131" s="2312">
        <f>C130*C127</f>
        <v>0.11176321156607896</v>
      </c>
      <c r="D131" s="2300" t="s">
        <v>101</v>
      </c>
      <c r="E131" s="2302"/>
      <c r="F131" s="2300"/>
      <c r="G131" s="2300"/>
      <c r="H131" s="2300"/>
      <c r="I131" s="2303">
        <f>$C131*$E$123*VLOOKUP($B131,'[3]Standard values'!$C$9:$S$159,7, FALSE)/$E$220</f>
        <v>7.037058853046597</v>
      </c>
      <c r="J131" s="2303">
        <f>$C131*$E$123*VLOOKUP($B131,'[3]Standard values'!$C$9:$S$159,8, FALSE)/$E$220</f>
        <v>2.2144638558356702E-2</v>
      </c>
      <c r="K131" s="2303">
        <f>$C131*$E$123*VLOOKUP($B131,'[3]Standard values'!$C$9:$S$159,9, FALSE)/$E$220</f>
        <v>2.4836269236906442E-5</v>
      </c>
      <c r="L131" s="2311">
        <f>I131*'[3]Standard values'!$D$10+J131*'[3]Standard values'!$D$11+K131*'[3]Standard values'!$D$12</f>
        <v>7.5980760252381128</v>
      </c>
      <c r="M131" s="2194"/>
      <c r="N131" s="2285">
        <f>L131/$E$124</f>
        <v>282.64842813885781</v>
      </c>
      <c r="O131" s="2194"/>
    </row>
    <row r="132" spans="1:15" ht="14.25">
      <c r="A132" s="2214"/>
      <c r="B132" s="2313" t="s">
        <v>844</v>
      </c>
      <c r="C132" s="2281">
        <v>0.02</v>
      </c>
      <c r="D132" s="2300" t="s">
        <v>885</v>
      </c>
      <c r="E132" s="2302"/>
      <c r="F132" s="2300"/>
      <c r="G132" s="2300"/>
      <c r="H132" s="2300"/>
      <c r="I132" s="2303"/>
      <c r="J132" s="2314"/>
      <c r="K132" s="2314"/>
      <c r="L132" s="2311"/>
      <c r="M132" s="2194"/>
      <c r="N132" s="2285"/>
      <c r="O132" s="2194"/>
    </row>
    <row r="133" spans="1:15" ht="15.75">
      <c r="A133" s="2214"/>
      <c r="B133" s="2313" t="s">
        <v>1372</v>
      </c>
      <c r="C133" s="2312">
        <f>C132*C127</f>
        <v>2.0117378081894212E-3</v>
      </c>
      <c r="D133" s="2300" t="s">
        <v>101</v>
      </c>
      <c r="E133" s="2302"/>
      <c r="F133" s="2300"/>
      <c r="G133" s="2300"/>
      <c r="H133" s="2300"/>
      <c r="I133" s="2303">
        <f>$C133*$E$123*VLOOKUP($B133,'[3]Standard values'!$C$9:$S$159,7, FALSE)/$E$220</f>
        <v>0.2401253835507404</v>
      </c>
      <c r="J133" s="2303">
        <f>$C133*$E$123*VLOOKUP($B133,'[3]Standard values'!$C$9:$S$159,8, FALSE)/$E$220</f>
        <v>5.8558334700047076E-4</v>
      </c>
      <c r="K133" s="2303">
        <f>$C133*$E$123*VLOOKUP($B133,'[3]Standard values'!$C$9:$S$159,9, FALSE)/$E$220</f>
        <v>1.084103152190966E-5</v>
      </c>
      <c r="L133" s="2311">
        <f>I133*'[3]Standard values'!$D$10+J133*'[3]Standard values'!$D$11+K133*'[3]Standard values'!$D$12</f>
        <v>0.25799559461928123</v>
      </c>
      <c r="M133" s="2194"/>
      <c r="N133" s="2285">
        <f>L133/$E$124</f>
        <v>9.5974361198372637</v>
      </c>
      <c r="O133" s="2194"/>
    </row>
    <row r="134" spans="1:15">
      <c r="A134" s="2214"/>
      <c r="B134" s="2212"/>
      <c r="C134" s="2278"/>
      <c r="D134" s="2212"/>
      <c r="E134" s="2214"/>
      <c r="F134" s="2212"/>
      <c r="G134" s="2212"/>
      <c r="H134" s="2212"/>
      <c r="I134" s="2215"/>
      <c r="J134" s="2215"/>
      <c r="K134" s="2215"/>
      <c r="L134" s="2254"/>
      <c r="M134" s="2194"/>
      <c r="N134" s="2285"/>
      <c r="O134" s="2194"/>
    </row>
    <row r="135" spans="1:15">
      <c r="A135" s="2214"/>
      <c r="B135" s="2265" t="s">
        <v>1167</v>
      </c>
      <c r="C135" s="2278"/>
      <c r="D135" s="2212"/>
      <c r="E135" s="2214"/>
      <c r="F135" s="2212"/>
      <c r="G135" s="2212"/>
      <c r="H135" s="2212"/>
      <c r="I135" s="2215"/>
      <c r="J135" s="2215"/>
      <c r="K135" s="2215"/>
      <c r="L135" s="2254"/>
      <c r="M135" s="2194"/>
      <c r="N135" s="2285"/>
      <c r="O135" s="2194"/>
    </row>
    <row r="136" spans="1:15" ht="15.75">
      <c r="A136" s="2214"/>
      <c r="B136" s="2325" t="s">
        <v>110</v>
      </c>
      <c r="C136" s="2507">
        <f>1.4*0.0000456989247311828</f>
        <v>6.3978494623655906E-5</v>
      </c>
      <c r="D136" s="2212" t="s">
        <v>108</v>
      </c>
      <c r="E136" s="2214"/>
      <c r="F136" s="2212"/>
      <c r="G136" s="2212"/>
      <c r="H136" s="2212"/>
      <c r="I136" s="2215">
        <f>$C136*$E$123*VLOOKUP($B136,'[3]Standard values'!$C$9:$S$159,3, FALSE)/$E$220</f>
        <v>0.17760430107526878</v>
      </c>
      <c r="J136" s="2215">
        <f>$C136*$E$123*VLOOKUP($B136,'[3]Standard values'!$C$9:$S$159,4, FALSE)/$E$220</f>
        <v>5.7112322580645154E-4</v>
      </c>
      <c r="K136" s="2215">
        <f>$C136*$E$123*VLOOKUP($B136,'[3]Standard values'!$C$9:$S$159,5, FALSE)/$E$220</f>
        <v>6.5769892473118279E-6</v>
      </c>
      <c r="L136" s="2254">
        <f>I136*'[3]Standard values'!$D$10+J136*'[3]Standard values'!$D$11+K136*'[3]Standard values'!$D$12</f>
        <v>0.19384232451612898</v>
      </c>
      <c r="M136" s="2194"/>
      <c r="N136" s="2285">
        <f t="shared" ref="N136:N141" si="0">L136/$E$124</f>
        <v>7.210934471999999</v>
      </c>
      <c r="O136" s="2194"/>
    </row>
    <row r="137" spans="1:15" ht="15.75">
      <c r="A137" s="2214"/>
      <c r="B137" s="2325" t="s">
        <v>986</v>
      </c>
      <c r="C137" s="2507">
        <f>1.4*0.000537634408602151</f>
        <v>7.5268817204301129E-4</v>
      </c>
      <c r="D137" s="2212" t="s">
        <v>108</v>
      </c>
      <c r="E137" s="2214"/>
      <c r="F137" s="2212"/>
      <c r="G137" s="2212"/>
      <c r="H137" s="2212"/>
      <c r="I137" s="2215">
        <f>$C137*$E$123*VLOOKUP($B137,'[3]Standard values'!$C$9:$S$159,3, FALSE)/$E$220</f>
        <v>0.53996193548387139</v>
      </c>
      <c r="J137" s="2215">
        <f>$C137*$E$123*VLOOKUP($B137,'[3]Standard values'!$C$9:$S$159,4, FALSE)/$E$220</f>
        <v>8.4978494623655972E-4</v>
      </c>
      <c r="K137" s="2215">
        <f>$C137*$E$123*VLOOKUP($B137,'[3]Standard values'!$C$9:$S$159,5, FALSE)/$E$220</f>
        <v>1.9118279569892487E-5</v>
      </c>
      <c r="L137" s="2254">
        <f>I137*'[3]Standard values'!$D$10+J137*'[3]Standard values'!$D$11+K137*'[3]Standard values'!$D$12</f>
        <v>0.56690380645161331</v>
      </c>
      <c r="M137" s="2194"/>
      <c r="N137" s="2285">
        <f t="shared" si="0"/>
        <v>21.088821600000017</v>
      </c>
      <c r="O137" s="2194"/>
    </row>
    <row r="138" spans="1:15" ht="15.75">
      <c r="A138" s="2214"/>
      <c r="B138" s="2325" t="s">
        <v>109</v>
      </c>
      <c r="C138" s="2507">
        <f>1.4*0.0000672043010752688</f>
        <v>9.4086021505376317E-5</v>
      </c>
      <c r="D138" s="2212" t="s">
        <v>108</v>
      </c>
      <c r="E138" s="2214"/>
      <c r="F138" s="2212"/>
      <c r="G138" s="2212"/>
      <c r="H138" s="2212"/>
      <c r="I138" s="2215">
        <f>$C138*$E$123*VLOOKUP($B138,'[3]Standard values'!$C$9:$S$159,3, FALSE)/$E$220</f>
        <v>9.8413978494623633E-2</v>
      </c>
      <c r="J138" s="2215">
        <f>$C138*$E$123*VLOOKUP($B138,'[3]Standard values'!$C$9:$S$159,4, FALSE)/$E$220</f>
        <v>5.8333333333333327E-4</v>
      </c>
      <c r="K138" s="2215">
        <f>$C138*$E$123*VLOOKUP($B138,'[3]Standard values'!$C$9:$S$159,5, FALSE)/$E$220</f>
        <v>5.174731182795697E-7</v>
      </c>
      <c r="L138" s="2254">
        <f>I138*'[3]Standard values'!$D$10+J138*'[3]Standard values'!$D$11+K138*'[3]Standard values'!$D$12</f>
        <v>0.11315151881720428</v>
      </c>
      <c r="M138" s="2194"/>
      <c r="N138" s="2285">
        <f t="shared" si="0"/>
        <v>4.2092364999999994</v>
      </c>
      <c r="O138" s="2194"/>
    </row>
    <row r="139" spans="1:15" ht="15.75">
      <c r="A139" s="2214"/>
      <c r="B139" s="2325" t="s">
        <v>1356</v>
      </c>
      <c r="C139" s="2507">
        <f>1.4*0.000180645161290323</f>
        <v>2.5290322580645222E-4</v>
      </c>
      <c r="D139" s="2212" t="s">
        <v>108</v>
      </c>
      <c r="E139" s="2214"/>
      <c r="F139" s="2212"/>
      <c r="G139" s="2212"/>
      <c r="H139" s="2212"/>
      <c r="I139" s="2215">
        <f>$C139*$E$123*VLOOKUP($B139,'[3]Standard values'!$C$9:$S$159,3, FALSE)/$E$220</f>
        <v>0.11089634477419381</v>
      </c>
      <c r="J139" s="2215">
        <f>$C139*$E$123*VLOOKUP($B139,'[3]Standard values'!$C$9:$S$159,4, FALSE)/$E$220</f>
        <v>2.6051561290322644E-4</v>
      </c>
      <c r="K139" s="2215">
        <f>$C139*$E$123*VLOOKUP($B139,'[3]Standard values'!$C$9:$S$159,5, FALSE)/$E$220</f>
        <v>6.0696774193548535E-6</v>
      </c>
      <c r="L139" s="2254">
        <f>I139*'[3]Standard values'!$D$10+J139*'[3]Standard values'!$D$11+K139*'[3]Standard values'!$D$12</f>
        <v>0.11921799896774223</v>
      </c>
      <c r="M139" s="2194"/>
      <c r="N139" s="2285">
        <f t="shared" si="0"/>
        <v>4.4349095616000112</v>
      </c>
      <c r="O139" s="2194"/>
    </row>
    <row r="140" spans="1:15" ht="15.75">
      <c r="A140" s="2214"/>
      <c r="B140" s="2325" t="s">
        <v>1409</v>
      </c>
      <c r="C140" s="2506">
        <f>1.4*0.0584556451612903</f>
        <v>8.1837903225806419E-2</v>
      </c>
      <c r="D140" s="2212" t="s">
        <v>101</v>
      </c>
      <c r="E140" s="2214"/>
      <c r="F140" s="2212"/>
      <c r="G140" s="2212"/>
      <c r="H140" s="2212"/>
      <c r="I140" s="2215">
        <f>$C140*$E$123*VLOOKUP($B140,'[3]Standard values'!$C$9:$S$159,7, FALSE)/$E$220</f>
        <v>7.5943482780465921</v>
      </c>
      <c r="J140" s="2215">
        <f>$C140*$E$123*VLOOKUP($B140,'[3]Standard values'!$C$9:$S$159,8, FALSE)/$E$220</f>
        <v>2.3735265210573467E-2</v>
      </c>
      <c r="K140" s="2215">
        <f>$C140*$E$123*VLOOKUP($B140,'[3]Standard values'!$C$9:$S$159,9, FALSE)/$E$220</f>
        <v>2.7279301075268806E-5</v>
      </c>
      <c r="L140" s="2254">
        <f>I140*'[3]Standard values'!$D$10+J140*'[3]Standard values'!$D$11+K140*'[3]Standard values'!$D$12</f>
        <v>8.1958591400313576</v>
      </c>
      <c r="M140" s="2194"/>
      <c r="N140" s="2285">
        <f t="shared" si="0"/>
        <v>304.88596000916652</v>
      </c>
      <c r="O140" s="2194"/>
    </row>
    <row r="141" spans="1:15">
      <c r="A141" s="2214"/>
      <c r="B141" s="2307"/>
      <c r="C141" s="2278"/>
      <c r="D141" s="2278"/>
      <c r="E141" s="2279"/>
      <c r="F141" s="2212"/>
      <c r="G141" s="2212"/>
      <c r="H141" s="2245" t="s">
        <v>151</v>
      </c>
      <c r="I141" s="2308">
        <f>SUM(I123:I140)</f>
        <v>16.283558526084789</v>
      </c>
      <c r="J141" s="2308">
        <f>SUM(J123:J140)</f>
        <v>5.0192765166351211E-2</v>
      </c>
      <c r="K141" s="2308">
        <f>SUM(K123:K140)</f>
        <v>2.2890545856145422E-4</v>
      </c>
      <c r="L141" s="2240">
        <f>I141*'[3]Standard values'!$D$10+J141*'[3]Standard values'!$D$11+K141*'[3]Standard values'!$D$12</f>
        <v>17.606591481894881</v>
      </c>
      <c r="M141" s="2194"/>
      <c r="N141" s="2274">
        <f t="shared" si="0"/>
        <v>654.96520312648966</v>
      </c>
      <c r="O141" s="2194"/>
    </row>
    <row r="142" spans="1:15">
      <c r="A142" s="2214"/>
      <c r="B142" s="2307"/>
      <c r="C142" s="2278"/>
      <c r="D142" s="2278"/>
      <c r="E142" s="2214"/>
      <c r="F142" s="2212"/>
      <c r="G142" s="2212"/>
      <c r="H142" s="2212"/>
      <c r="I142" s="2212"/>
      <c r="J142" s="2212"/>
      <c r="K142" s="2212"/>
      <c r="L142" s="2275"/>
      <c r="M142" s="2194"/>
      <c r="N142" s="2193"/>
      <c r="O142" s="2194"/>
    </row>
    <row r="143" spans="1:15" ht="14.25">
      <c r="A143" s="2239"/>
      <c r="B143" s="2237"/>
      <c r="C143" s="2237"/>
      <c r="D143" s="2237"/>
      <c r="E143" s="2239"/>
      <c r="F143" s="2238"/>
      <c r="G143" s="2238"/>
      <c r="H143" s="2238" t="s">
        <v>241</v>
      </c>
      <c r="I143" s="2237"/>
      <c r="J143" s="2236" t="s">
        <v>97</v>
      </c>
      <c r="K143" s="2235"/>
      <c r="L143" s="2234">
        <f>L141</f>
        <v>17.606591481894881</v>
      </c>
      <c r="M143" s="2194"/>
      <c r="N143" s="2193"/>
      <c r="O143" s="2194"/>
    </row>
    <row r="144" spans="1:15">
      <c r="A144" s="2193"/>
      <c r="B144" s="2193"/>
      <c r="C144" s="2193"/>
      <c r="D144" s="2194"/>
      <c r="E144" s="2194"/>
      <c r="F144" s="2231"/>
      <c r="G144" s="2231"/>
      <c r="H144" s="2298"/>
      <c r="I144" s="2297"/>
      <c r="J144" s="2194"/>
      <c r="K144" s="2194"/>
      <c r="L144" s="2296"/>
      <c r="M144" s="2194"/>
      <c r="N144" s="2194"/>
      <c r="O144" s="2194"/>
    </row>
    <row r="145" spans="1:15">
      <c r="A145" s="2193"/>
      <c r="B145" s="2193"/>
      <c r="C145" s="2193"/>
      <c r="D145" s="2194"/>
      <c r="E145" s="2194"/>
      <c r="F145" s="2231"/>
      <c r="G145" s="2231"/>
      <c r="H145" s="2298"/>
      <c r="I145" s="2297"/>
      <c r="J145" s="2194"/>
      <c r="K145" s="2194"/>
      <c r="L145" s="2296"/>
      <c r="M145" s="2194"/>
      <c r="N145" s="2194"/>
      <c r="O145" s="2194"/>
    </row>
    <row r="146" spans="1:15" ht="15.75">
      <c r="A146" s="2229" t="s">
        <v>150</v>
      </c>
      <c r="B146" s="2228"/>
      <c r="C146" s="2228"/>
      <c r="D146" s="2228"/>
      <c r="E146" s="2225" t="s">
        <v>149</v>
      </c>
      <c r="F146" s="2226"/>
      <c r="G146" s="2226"/>
      <c r="H146" s="2226"/>
      <c r="I146" s="2224"/>
      <c r="J146" s="2225" t="s">
        <v>97</v>
      </c>
      <c r="K146" s="2224"/>
      <c r="L146" s="2223">
        <f>L96+L117+L143</f>
        <v>53.075211087611301</v>
      </c>
      <c r="M146" s="2194"/>
      <c r="N146" s="2282" t="s">
        <v>258</v>
      </c>
      <c r="O146" s="2193"/>
    </row>
    <row r="147" spans="1:15" ht="15.75">
      <c r="A147" s="2222" t="s">
        <v>148</v>
      </c>
      <c r="B147" s="2221"/>
      <c r="C147" s="2221"/>
      <c r="D147" s="2221"/>
      <c r="E147" s="2220"/>
      <c r="F147" s="2220"/>
      <c r="G147" s="2220"/>
      <c r="H147" s="2220"/>
      <c r="I147" s="2220"/>
      <c r="J147" s="2220"/>
      <c r="K147" s="2220"/>
      <c r="L147" s="2219"/>
      <c r="M147" s="2194"/>
      <c r="N147" s="2280" t="s">
        <v>102</v>
      </c>
      <c r="O147" s="2193"/>
    </row>
    <row r="148" spans="1:15" ht="15.75">
      <c r="A148" s="2302"/>
      <c r="B148" s="2300"/>
      <c r="C148" s="2300"/>
      <c r="D148" s="2304"/>
      <c r="E148" s="2304"/>
      <c r="F148" s="2304"/>
      <c r="G148" s="2304"/>
      <c r="H148" s="2304" t="s">
        <v>147</v>
      </c>
      <c r="I148" s="2305">
        <f>L146</f>
        <v>53.075211087611301</v>
      </c>
      <c r="J148" s="2300" t="s">
        <v>1120</v>
      </c>
      <c r="K148" s="2300"/>
      <c r="L148" s="2299"/>
      <c r="M148" s="2194"/>
      <c r="N148" s="2258" t="s">
        <v>1456</v>
      </c>
      <c r="O148" s="2193"/>
    </row>
    <row r="149" spans="1:15" ht="15.75">
      <c r="A149" s="2302"/>
      <c r="B149" s="2300" t="s">
        <v>146</v>
      </c>
      <c r="C149" s="2300" t="s">
        <v>1479</v>
      </c>
      <c r="D149" s="2300"/>
      <c r="E149" s="2304" t="s">
        <v>107</v>
      </c>
      <c r="F149" s="2472">
        <f>1*1000*VLOOKUP($C149,'[3]Standard values'!$C$9:$S$159,14, FALSE)</f>
        <v>37200</v>
      </c>
      <c r="G149" s="2472"/>
      <c r="H149" s="2300" t="s">
        <v>265</v>
      </c>
      <c r="I149" s="2303">
        <f>$I$148*F149/F$151</f>
        <v>50.769302138853071</v>
      </c>
      <c r="J149" s="2300" t="s">
        <v>1120</v>
      </c>
      <c r="K149" s="2300"/>
      <c r="L149" s="2299"/>
      <c r="M149" s="2194"/>
      <c r="N149" s="2275"/>
      <c r="O149" s="2193"/>
    </row>
    <row r="150" spans="1:15" ht="15.75">
      <c r="A150" s="2302"/>
      <c r="B150" s="2300" t="s">
        <v>144</v>
      </c>
      <c r="C150" s="2300" t="s">
        <v>1441</v>
      </c>
      <c r="D150" s="2300"/>
      <c r="E150" s="2304" t="s">
        <v>106</v>
      </c>
      <c r="F150" s="2472">
        <f>C123*VLOOKUP($C150,'[3]Standard values'!$C$9:$S$159,14, FALSE)</f>
        <v>1689.6</v>
      </c>
      <c r="G150" s="2472"/>
      <c r="H150" s="2300" t="s">
        <v>265</v>
      </c>
      <c r="I150" s="2303">
        <f>$I$148*F150/F$151</f>
        <v>2.3059089487582298</v>
      </c>
      <c r="J150" s="2300" t="s">
        <v>1120</v>
      </c>
      <c r="K150" s="2300"/>
      <c r="L150" s="2299"/>
      <c r="M150" s="2194"/>
      <c r="N150" s="2275"/>
      <c r="O150" s="2193"/>
    </row>
    <row r="151" spans="1:15">
      <c r="A151" s="2302"/>
      <c r="B151" s="2300"/>
      <c r="C151" s="2300" t="s">
        <v>933</v>
      </c>
      <c r="D151" s="2300"/>
      <c r="E151" s="2300" t="s">
        <v>266</v>
      </c>
      <c r="F151" s="2472">
        <f>SUM(F149:F150)</f>
        <v>38889.599999999999</v>
      </c>
      <c r="G151" s="2472"/>
      <c r="H151" s="2300" t="s">
        <v>265</v>
      </c>
      <c r="I151" s="2300"/>
      <c r="J151" s="2300"/>
      <c r="K151" s="2300"/>
      <c r="L151" s="2299"/>
      <c r="M151" s="2194"/>
      <c r="N151" s="2285"/>
      <c r="O151" s="2193"/>
    </row>
    <row r="152" spans="1:15" ht="14.25">
      <c r="A152" s="2239"/>
      <c r="B152" s="2237"/>
      <c r="C152" s="2237"/>
      <c r="D152" s="2237"/>
      <c r="E152" s="2236" t="s">
        <v>264</v>
      </c>
      <c r="F152" s="2238"/>
      <c r="G152" s="2238"/>
      <c r="H152" s="2196"/>
      <c r="I152" s="2237"/>
      <c r="J152" s="2236" t="s">
        <v>97</v>
      </c>
      <c r="K152" s="2196"/>
      <c r="L152" s="2234">
        <f>I149</f>
        <v>50.769302138853071</v>
      </c>
      <c r="M152" s="2194"/>
      <c r="N152" s="2274">
        <f>L152/$E$103</f>
        <v>1815.9788841974369</v>
      </c>
      <c r="O152" s="2194"/>
    </row>
    <row r="153" spans="1:15">
      <c r="A153" s="2193"/>
      <c r="B153" s="2193"/>
      <c r="C153" s="2193"/>
      <c r="D153" s="2194"/>
      <c r="E153" s="2194"/>
      <c r="F153" s="2231"/>
      <c r="G153" s="2231"/>
      <c r="H153" s="2298"/>
      <c r="I153" s="2297"/>
      <c r="J153" s="2194"/>
      <c r="K153" s="2194"/>
      <c r="L153" s="2296"/>
      <c r="M153" s="2194"/>
      <c r="N153" s="2194"/>
      <c r="O153" s="2194"/>
    </row>
    <row r="154" spans="1:15">
      <c r="A154" s="2295"/>
      <c r="B154" s="2294"/>
      <c r="C154" s="2293"/>
      <c r="D154" s="2193"/>
      <c r="E154" s="2194"/>
      <c r="F154" s="2194"/>
      <c r="G154" s="2194"/>
      <c r="H154" s="2194"/>
      <c r="I154" s="2194"/>
      <c r="J154" s="2292"/>
      <c r="K154" s="2194"/>
      <c r="L154" s="2194"/>
      <c r="M154" s="2194"/>
      <c r="N154" s="2194"/>
      <c r="O154" s="2194"/>
    </row>
    <row r="155" spans="1:15" ht="15.75">
      <c r="A155" s="2229" t="s">
        <v>105</v>
      </c>
      <c r="B155" s="2227" t="s">
        <v>262</v>
      </c>
      <c r="C155" s="2228"/>
      <c r="D155" s="2228"/>
      <c r="E155" s="2229" t="s">
        <v>239</v>
      </c>
      <c r="F155" s="2227"/>
      <c r="G155" s="2227"/>
      <c r="H155" s="2228"/>
      <c r="I155" s="2227" t="s">
        <v>261</v>
      </c>
      <c r="J155" s="2291"/>
      <c r="K155" s="2291"/>
      <c r="L155" s="2290"/>
      <c r="M155" s="2194"/>
      <c r="N155" s="2282" t="s">
        <v>258</v>
      </c>
      <c r="O155" s="2194"/>
    </row>
    <row r="156" spans="1:15" ht="15.75">
      <c r="A156" s="2214"/>
      <c r="B156" s="2265" t="s">
        <v>1479</v>
      </c>
      <c r="C156" s="2281">
        <v>1</v>
      </c>
      <c r="D156" s="2212" t="s">
        <v>103</v>
      </c>
      <c r="E156" s="2266">
        <f>E122*C156</f>
        <v>42790.945045880188</v>
      </c>
      <c r="F156" s="2278" t="s">
        <v>99</v>
      </c>
      <c r="G156" s="2278"/>
      <c r="H156" s="2289"/>
      <c r="I156" s="2246" t="s">
        <v>1165</v>
      </c>
      <c r="J156" s="2245"/>
      <c r="K156" s="2245"/>
      <c r="L156" s="2244"/>
      <c r="M156" s="2194"/>
      <c r="N156" s="2280" t="s">
        <v>102</v>
      </c>
      <c r="O156" s="2194"/>
    </row>
    <row r="157" spans="1:15" ht="15.75">
      <c r="A157" s="2214"/>
      <c r="B157" s="2212"/>
      <c r="C157" s="2504"/>
      <c r="D157" s="2212"/>
      <c r="E157" s="2279">
        <f>E123*C156</f>
        <v>0.57844828987377617</v>
      </c>
      <c r="F157" s="2278" t="s">
        <v>1109</v>
      </c>
      <c r="G157" s="2278"/>
      <c r="H157" s="2289"/>
      <c r="I157" s="2243" t="s">
        <v>1453</v>
      </c>
      <c r="J157" s="2243" t="s">
        <v>1454</v>
      </c>
      <c r="K157" s="2243" t="s">
        <v>245</v>
      </c>
      <c r="L157" s="2258" t="s">
        <v>1456</v>
      </c>
      <c r="M157" s="2194"/>
      <c r="N157" s="2258" t="s">
        <v>1456</v>
      </c>
      <c r="O157" s="2194"/>
    </row>
    <row r="158" spans="1:15">
      <c r="A158" s="2214"/>
      <c r="B158" s="2265" t="s">
        <v>1407</v>
      </c>
      <c r="C158" s="2504"/>
      <c r="D158" s="2212"/>
      <c r="E158" s="2266"/>
      <c r="F158" s="2212"/>
      <c r="G158" s="2212"/>
      <c r="H158" s="2212"/>
      <c r="I158" s="2212"/>
      <c r="J158" s="2212"/>
      <c r="K158" s="2212"/>
      <c r="L158" s="2275"/>
      <c r="M158" s="2194"/>
      <c r="N158" s="2275"/>
      <c r="O158" s="2194"/>
    </row>
    <row r="159" spans="1:15" ht="15.75">
      <c r="A159" s="2214"/>
      <c r="B159" s="2212" t="s">
        <v>1184</v>
      </c>
      <c r="C159" s="2242">
        <f>2*150</f>
        <v>300</v>
      </c>
      <c r="D159" s="2212" t="s">
        <v>1414</v>
      </c>
      <c r="E159" s="2287">
        <f>(C159*E157/VLOOKUP($B156,'[3]Standard values'!$C$9:$S$159,14, FALSE))/1000</f>
        <v>4.6649055634981947E-3</v>
      </c>
      <c r="F159" s="2212" t="s">
        <v>104</v>
      </c>
      <c r="G159" s="2212"/>
      <c r="H159" s="2212"/>
      <c r="I159" s="2215">
        <f>$E159*VLOOKUP($B159,'[3]Standard values'!$C$9:$S$159,15, FALSE)*VLOOKUP(C160,'[3]Standard values'!$C$9:$S$159,7, FALSE)/$E$220</f>
        <v>0.71241935483870966</v>
      </c>
      <c r="J159" s="2215">
        <f>$E159*((VLOOKUP($B159,'[3]Standard values'!$C$9:$S$159,15, FALSE)*VLOOKUP(C160,'[3]Standard values'!$C$9:$S$159,8, FALSE))+VLOOKUP($B159,'[3]Standard values'!$C$9:$S$159,16, FALSE))/$E$220</f>
        <v>4.032258064516129E-5</v>
      </c>
      <c r="K159" s="2215">
        <f>$E159*((VLOOKUP($B159,'[3]Standard values'!$C$9:$S$159,15, FALSE)*VLOOKUP(C160,'[3]Standard values'!$C$9:$S$159,9, FALSE))+VLOOKUP($B159,'[3]Standard values'!$C$9:$S$159,17, FALSE))/$E$220</f>
        <v>0</v>
      </c>
      <c r="L159" s="2240">
        <f>I159*'[3]Standard values'!$D$10+J159*'[3]Standard values'!$D$11+K159*'[3]Standard values'!$D$12</f>
        <v>0.71342741935483867</v>
      </c>
      <c r="M159" s="2194"/>
      <c r="N159" s="2285">
        <f>L159/$E$103</f>
        <v>25.518750000000001</v>
      </c>
      <c r="O159" s="2194"/>
    </row>
    <row r="160" spans="1:15">
      <c r="A160" s="2214"/>
      <c r="B160" s="2217" t="s">
        <v>1374</v>
      </c>
      <c r="C160" s="2288" t="s">
        <v>1413</v>
      </c>
      <c r="D160" s="2212"/>
      <c r="E160" s="2214"/>
      <c r="F160" s="2212"/>
      <c r="G160" s="2212"/>
      <c r="H160" s="2212"/>
      <c r="I160" s="2215"/>
      <c r="J160" s="2215"/>
      <c r="K160" s="2215"/>
      <c r="L160" s="2240"/>
      <c r="M160" s="2194"/>
      <c r="N160" s="2285"/>
      <c r="O160" s="2194"/>
    </row>
    <row r="161" spans="1:15">
      <c r="A161" s="2214"/>
      <c r="B161" s="2212"/>
      <c r="C161" s="2504"/>
      <c r="D161" s="2212"/>
      <c r="E161" s="2287"/>
      <c r="F161" s="2212"/>
      <c r="G161" s="2212"/>
      <c r="H161" s="2212"/>
      <c r="I161" s="2215"/>
      <c r="J161" s="2215"/>
      <c r="K161" s="2215"/>
      <c r="L161" s="2240"/>
      <c r="M161" s="2194"/>
      <c r="N161" s="2285"/>
      <c r="O161" s="2194"/>
    </row>
    <row r="162" spans="1:15">
      <c r="A162" s="2214"/>
      <c r="B162" s="2265" t="s">
        <v>1457</v>
      </c>
      <c r="C162" s="2504"/>
      <c r="D162" s="2212"/>
      <c r="E162" s="2214"/>
      <c r="F162" s="2212"/>
      <c r="G162" s="2212"/>
      <c r="H162" s="2212"/>
      <c r="I162" s="2215"/>
      <c r="J162" s="2215"/>
      <c r="K162" s="2215"/>
      <c r="L162" s="2276"/>
      <c r="M162" s="2194"/>
      <c r="N162" s="2285"/>
      <c r="O162" s="2194"/>
    </row>
    <row r="163" spans="1:15" ht="15.75">
      <c r="A163" s="2286"/>
      <c r="B163" s="2212" t="s">
        <v>1371</v>
      </c>
      <c r="C163" s="2242">
        <v>8.4000000000000003E-4</v>
      </c>
      <c r="D163" s="2212" t="s">
        <v>101</v>
      </c>
      <c r="E163" s="2214"/>
      <c r="F163" s="2212"/>
      <c r="G163" s="2212"/>
      <c r="H163" s="2212"/>
      <c r="I163" s="2215">
        <f>$C163*$E$157*VLOOKUP($B163,'[3]Standard values'!$C$9:$S$159,7, FALSE)/$E$220</f>
        <v>0.10146738000000001</v>
      </c>
      <c r="J163" s="2215">
        <f>$C163*$E$157*VLOOKUP($B163,'[3]Standard values'!$C$9:$S$159,8, FALSE)/$E$220</f>
        <v>2.4744999999999997E-4</v>
      </c>
      <c r="K163" s="2215">
        <f>$C163*$E$157*VLOOKUP($B163,'[3]Standard values'!$C$9:$S$159,9, FALSE)/$E$220</f>
        <v>4.596666666666667E-6</v>
      </c>
      <c r="L163" s="2240">
        <f>I163*'[3]Standard values'!$D$10+J163*'[3]Standard values'!$D$11+K163*'[3]Standard values'!$D$12</f>
        <v>0.10902343666666668</v>
      </c>
      <c r="M163" s="2194"/>
      <c r="N163" s="2285">
        <f>L163/$E$103</f>
        <v>3.8996844653846163</v>
      </c>
      <c r="O163" s="2194"/>
    </row>
    <row r="164" spans="1:15" ht="14.25">
      <c r="A164" s="2239"/>
      <c r="B164" s="2237"/>
      <c r="C164" s="2237"/>
      <c r="D164" s="2237"/>
      <c r="E164" s="2239"/>
      <c r="F164" s="2238"/>
      <c r="G164" s="2238"/>
      <c r="H164" s="2238" t="s">
        <v>241</v>
      </c>
      <c r="I164" s="2237"/>
      <c r="J164" s="2236" t="s">
        <v>97</v>
      </c>
      <c r="K164" s="2235"/>
      <c r="L164" s="2505">
        <f>L163+L159</f>
        <v>0.82245085602150536</v>
      </c>
      <c r="M164" s="2194"/>
      <c r="N164" s="2274">
        <f>L164/$E$103</f>
        <v>29.418434465384617</v>
      </c>
      <c r="O164" s="2194"/>
    </row>
    <row r="165" spans="1:15">
      <c r="A165" s="2193"/>
      <c r="B165" s="2193"/>
      <c r="C165" s="2193"/>
      <c r="D165" s="2193"/>
      <c r="E165" s="2193"/>
      <c r="F165" s="2233"/>
      <c r="G165" s="2233"/>
      <c r="H165" s="2233"/>
      <c r="I165" s="2193"/>
      <c r="J165" s="2232"/>
      <c r="K165" s="2231"/>
      <c r="L165" s="2284"/>
      <c r="M165" s="2194"/>
      <c r="N165" s="2193"/>
      <c r="O165" s="2194"/>
    </row>
    <row r="166" spans="1:15">
      <c r="A166" s="2193"/>
      <c r="B166" s="2193"/>
      <c r="C166" s="2193"/>
      <c r="D166" s="2193"/>
      <c r="E166" s="2193"/>
      <c r="F166" s="2233"/>
      <c r="G166" s="2233"/>
      <c r="H166" s="2233"/>
      <c r="I166" s="2193"/>
      <c r="J166" s="2232"/>
      <c r="K166" s="2231"/>
      <c r="L166" s="2284"/>
      <c r="M166" s="2194"/>
      <c r="N166" s="2194"/>
      <c r="O166" s="2194"/>
    </row>
    <row r="167" spans="1:15" ht="15.75">
      <c r="A167" s="2229" t="s">
        <v>259</v>
      </c>
      <c r="B167" s="2228"/>
      <c r="C167" s="2228"/>
      <c r="D167" s="2228"/>
      <c r="E167" s="2229" t="s">
        <v>239</v>
      </c>
      <c r="F167" s="2228"/>
      <c r="G167" s="2228"/>
      <c r="H167" s="2228"/>
      <c r="I167" s="2228"/>
      <c r="J167" s="2228"/>
      <c r="K167" s="2228"/>
      <c r="L167" s="2283"/>
      <c r="M167" s="2194"/>
      <c r="N167" s="2282" t="s">
        <v>258</v>
      </c>
      <c r="O167" s="2194"/>
    </row>
    <row r="168" spans="1:15" ht="15.75">
      <c r="A168" s="2214"/>
      <c r="B168" s="2265" t="s">
        <v>1428</v>
      </c>
      <c r="C168" s="2281">
        <v>1</v>
      </c>
      <c r="D168" s="2212" t="s">
        <v>103</v>
      </c>
      <c r="E168" s="2266">
        <f>E156*C168</f>
        <v>42790.945045880188</v>
      </c>
      <c r="F168" s="2278" t="s">
        <v>99</v>
      </c>
      <c r="G168" s="2278"/>
      <c r="H168" s="2212"/>
      <c r="I168" s="2246" t="s">
        <v>1165</v>
      </c>
      <c r="J168" s="2245"/>
      <c r="K168" s="2245"/>
      <c r="L168" s="2244"/>
      <c r="M168" s="2194"/>
      <c r="N168" s="2280" t="s">
        <v>102</v>
      </c>
      <c r="O168" s="2194"/>
    </row>
    <row r="169" spans="1:15" ht="15.75">
      <c r="A169" s="2214"/>
      <c r="B169" s="2212"/>
      <c r="C169" s="2504"/>
      <c r="D169" s="2212"/>
      <c r="E169" s="2279">
        <f>E157*C168</f>
        <v>0.57844828987377617</v>
      </c>
      <c r="F169" s="2278" t="s">
        <v>1109</v>
      </c>
      <c r="G169" s="2278"/>
      <c r="H169" s="2212"/>
      <c r="I169" s="2243" t="s">
        <v>1453</v>
      </c>
      <c r="J169" s="2243" t="s">
        <v>1454</v>
      </c>
      <c r="K169" s="2243" t="s">
        <v>245</v>
      </c>
      <c r="L169" s="2258" t="s">
        <v>1456</v>
      </c>
      <c r="M169" s="2194"/>
      <c r="N169" s="2258" t="s">
        <v>1456</v>
      </c>
      <c r="O169" s="2194"/>
    </row>
    <row r="170" spans="1:15">
      <c r="A170" s="2214"/>
      <c r="B170" s="2265" t="s">
        <v>1429</v>
      </c>
      <c r="C170" s="2504"/>
      <c r="D170" s="2212"/>
      <c r="E170" s="2214"/>
      <c r="F170" s="2212"/>
      <c r="G170" s="2212"/>
      <c r="H170" s="2212"/>
      <c r="I170" s="2215"/>
      <c r="J170" s="2215"/>
      <c r="K170" s="2215"/>
      <c r="L170" s="2276"/>
      <c r="M170" s="2194"/>
      <c r="N170" s="2275"/>
      <c r="O170" s="2194"/>
    </row>
    <row r="171" spans="1:15" ht="15.75">
      <c r="A171" s="2214"/>
      <c r="B171" s="2212" t="s">
        <v>1371</v>
      </c>
      <c r="C171" s="2242">
        <v>3.3999999999999998E-3</v>
      </c>
      <c r="D171" s="2212" t="s">
        <v>101</v>
      </c>
      <c r="E171" s="2214"/>
      <c r="F171" s="2212"/>
      <c r="G171" s="2212"/>
      <c r="H171" s="2212"/>
      <c r="I171" s="2215">
        <f>$C171*$E$157*VLOOKUP($B171,'[3]Standard values'!$C$9:$S$159,7, FALSE)/$E$220</f>
        <v>0.41070129999999999</v>
      </c>
      <c r="J171" s="2215">
        <f>$C171*$E$157*VLOOKUP($B171,'[3]Standard values'!$C$9:$S$159,8, FALSE)/$E$220</f>
        <v>1.0015833333333333E-3</v>
      </c>
      <c r="K171" s="2215">
        <f>$C171*$E$157*VLOOKUP($B171,'[3]Standard values'!$C$9:$S$159,9, FALSE)/$E$220</f>
        <v>1.8605555555555555E-5</v>
      </c>
      <c r="L171" s="2240">
        <f>I171*'[3]Standard values'!$D$10+J171*'[3]Standard values'!$D$11+K171*'[3]Standard values'!$D$12</f>
        <v>0.44128533888888888</v>
      </c>
      <c r="M171" s="2194"/>
      <c r="N171" s="2274">
        <f>L171/$E$103</f>
        <v>15.784437121794873</v>
      </c>
      <c r="O171" s="2194"/>
    </row>
    <row r="172" spans="1:15" ht="14.25">
      <c r="A172" s="2239"/>
      <c r="B172" s="2237"/>
      <c r="C172" s="2237"/>
      <c r="D172" s="2237"/>
      <c r="E172" s="2239"/>
      <c r="F172" s="2238"/>
      <c r="G172" s="2238"/>
      <c r="H172" s="2238" t="s">
        <v>241</v>
      </c>
      <c r="I172" s="2237"/>
      <c r="J172" s="2236" t="s">
        <v>97</v>
      </c>
      <c r="K172" s="2235"/>
      <c r="L172" s="2234">
        <f>L171</f>
        <v>0.44128533888888888</v>
      </c>
      <c r="M172" s="2194"/>
      <c r="N172" s="2193"/>
      <c r="O172" s="2194"/>
    </row>
    <row r="173" spans="1:15">
      <c r="A173" s="2193"/>
      <c r="B173" s="2193"/>
      <c r="C173" s="2193"/>
      <c r="D173" s="2193"/>
      <c r="E173" s="2193"/>
      <c r="F173" s="2233"/>
      <c r="G173" s="2233"/>
      <c r="H173" s="2233"/>
      <c r="I173" s="2193"/>
      <c r="J173" s="2232"/>
      <c r="K173" s="2231"/>
      <c r="L173" s="2272"/>
      <c r="M173" s="2194"/>
      <c r="N173" s="2193"/>
      <c r="O173" s="2194"/>
    </row>
    <row r="174" spans="1:15">
      <c r="A174" s="2193"/>
      <c r="B174" s="2193"/>
      <c r="C174" s="2193"/>
      <c r="D174" s="2193"/>
      <c r="E174" s="2193"/>
      <c r="F174" s="2233"/>
      <c r="G174" s="2233"/>
      <c r="H174" s="2233"/>
      <c r="I174" s="2193"/>
      <c r="J174" s="2232"/>
      <c r="K174" s="2231"/>
      <c r="L174" s="2272"/>
      <c r="M174" s="2194"/>
      <c r="N174" s="2194"/>
      <c r="O174" s="2194"/>
    </row>
    <row r="175" spans="1:15" ht="15.75">
      <c r="A175" s="2229" t="s">
        <v>253</v>
      </c>
      <c r="B175" s="2252"/>
      <c r="C175" s="2251"/>
      <c r="D175" s="2228"/>
      <c r="E175" s="2250"/>
      <c r="F175" s="2228"/>
      <c r="G175" s="2228"/>
      <c r="H175" s="2228"/>
      <c r="I175" s="2228"/>
      <c r="J175" s="2228"/>
      <c r="K175" s="2228"/>
      <c r="L175" s="2249"/>
      <c r="M175" s="2194"/>
      <c r="N175" s="2194"/>
      <c r="O175" s="2194"/>
    </row>
    <row r="176" spans="1:15" ht="15.75">
      <c r="A176" s="2248"/>
      <c r="B176" s="2271" t="s">
        <v>1193</v>
      </c>
      <c r="C176" s="2265" t="s">
        <v>252</v>
      </c>
      <c r="D176" s="2212"/>
      <c r="E176" s="2214"/>
      <c r="F176" s="2212"/>
      <c r="G176" s="2212"/>
      <c r="H176" s="2212"/>
      <c r="I176" s="2212"/>
      <c r="J176" s="2212"/>
      <c r="K176" s="2212"/>
      <c r="L176" s="2244"/>
      <c r="M176" s="2194"/>
      <c r="N176" s="2193"/>
      <c r="O176" s="2193"/>
    </row>
    <row r="177" spans="1:15" ht="15.75">
      <c r="A177" s="2248"/>
      <c r="B177" s="2265"/>
      <c r="C177" s="2267"/>
      <c r="D177" s="2264" t="s">
        <v>747</v>
      </c>
      <c r="E177" s="2263" t="str">
        <f>IF(D179="Yes","From :  ", " ")</f>
        <v xml:space="preserve"> </v>
      </c>
      <c r="F177" s="3240" t="str">
        <f>IF(D179="Yes",[3]LUC!H$35 &amp; " ; " &amp; [3]LUC!H$36 &amp; " ; " &amp; [3]LUC!H$39 &amp; " ; " &amp; [3]LUC!H$40 &amp; " ; " &amp; [3]LUC!H$45 &amp; " ; " &amp; [3]LUC!H$46 &amp; " ; " &amp; [3]LUC!H$47, " ")</f>
        <v xml:space="preserve"> </v>
      </c>
      <c r="G177" s="3240"/>
      <c r="H177" s="3240"/>
      <c r="I177" s="3240"/>
      <c r="J177" s="3240"/>
      <c r="K177" s="3240"/>
      <c r="L177" s="3241"/>
      <c r="M177" s="2194"/>
      <c r="N177" s="2193"/>
      <c r="O177" s="2193"/>
    </row>
    <row r="178" spans="1:15" ht="15.75">
      <c r="A178" s="2248"/>
      <c r="B178" s="2243" t="s">
        <v>251</v>
      </c>
      <c r="C178" s="2270" t="s">
        <v>747</v>
      </c>
      <c r="D178" s="2264" t="s">
        <v>748</v>
      </c>
      <c r="E178" s="2266"/>
      <c r="F178" s="3240"/>
      <c r="G178" s="3240"/>
      <c r="H178" s="3240"/>
      <c r="I178" s="3240"/>
      <c r="J178" s="3240"/>
      <c r="K178" s="3240"/>
      <c r="L178" s="3241"/>
      <c r="M178" s="2194"/>
      <c r="N178" s="2193"/>
      <c r="O178" s="2193"/>
    </row>
    <row r="179" spans="1:15" ht="15.75">
      <c r="A179" s="2248"/>
      <c r="B179" s="2265"/>
      <c r="C179" s="2261" t="str">
        <f>IF(D179="Yes","Go to", " ")</f>
        <v xml:space="preserve"> </v>
      </c>
      <c r="D179" s="2264" t="s">
        <v>748</v>
      </c>
      <c r="E179" s="2263" t="str">
        <f>IF(D179="Yes","To    :   ", " ")</f>
        <v xml:space="preserve"> </v>
      </c>
      <c r="F179" s="3242" t="str">
        <f>IF(D179="Yes", [3]LUC!D$35 &amp; " ; " &amp; [3]LUC!D$36 &amp; " ; " &amp; [3]LUC!D$39 &amp; " ; " &amp; [3]LUC!D$40 &amp; " ; " &amp; [3]LUC!D$45 &amp; " ; " &amp; [3]LUC!D$46 &amp; " ; " &amp; [3]LUC!D$47, " ")</f>
        <v xml:space="preserve"> </v>
      </c>
      <c r="G179" s="3242"/>
      <c r="H179" s="3242"/>
      <c r="I179" s="3242"/>
      <c r="J179" s="3242"/>
      <c r="K179" s="3242"/>
      <c r="L179" s="3243"/>
      <c r="M179" s="2194"/>
      <c r="N179" s="2193"/>
      <c r="O179" s="2193"/>
    </row>
    <row r="180" spans="1:15" ht="15.75">
      <c r="A180" s="2248"/>
      <c r="B180" s="2247"/>
      <c r="C180" s="551" t="str">
        <f>IF(D179="Yes","sheet 'LUC' ", " ")</f>
        <v xml:space="preserve"> </v>
      </c>
      <c r="D180" s="2212"/>
      <c r="E180" s="2260"/>
      <c r="F180" s="3242"/>
      <c r="G180" s="3242"/>
      <c r="H180" s="3242"/>
      <c r="I180" s="3242"/>
      <c r="J180" s="3242"/>
      <c r="K180" s="3242"/>
      <c r="L180" s="3243"/>
      <c r="M180" s="2194"/>
      <c r="N180" s="2193"/>
      <c r="O180" s="2193"/>
    </row>
    <row r="181" spans="1:15" ht="15.75">
      <c r="A181" s="2248"/>
      <c r="B181" s="2247"/>
      <c r="C181" s="2261" t="str">
        <f>IF(D179="Yes","to calculate the land use change", " ")</f>
        <v xml:space="preserve"> </v>
      </c>
      <c r="D181" s="2212"/>
      <c r="E181" s="2260"/>
      <c r="F181" s="2259"/>
      <c r="G181" s="2259"/>
      <c r="H181" s="2259"/>
      <c r="I181" s="2246" t="s">
        <v>243</v>
      </c>
      <c r="J181" s="2245"/>
      <c r="K181" s="2259"/>
      <c r="L181" s="2262"/>
      <c r="M181" s="2194"/>
      <c r="N181" s="2193"/>
      <c r="O181" s="2193"/>
    </row>
    <row r="182" spans="1:15" ht="16.5">
      <c r="A182" s="2248"/>
      <c r="B182" s="2247"/>
      <c r="C182" s="2261"/>
      <c r="D182" s="2212"/>
      <c r="E182" s="2260"/>
      <c r="F182" s="2259"/>
      <c r="G182" s="2259"/>
      <c r="H182" s="2259"/>
      <c r="I182" s="2243" t="s">
        <v>1453</v>
      </c>
      <c r="J182" s="2243" t="s">
        <v>1454</v>
      </c>
      <c r="K182" s="2243" t="s">
        <v>245</v>
      </c>
      <c r="L182" s="2258" t="s">
        <v>1456</v>
      </c>
      <c r="M182" s="2194"/>
      <c r="N182" s="2193"/>
      <c r="O182" s="2193"/>
    </row>
    <row r="183" spans="1:15" ht="16.5">
      <c r="A183" s="2248"/>
      <c r="B183" s="2257" t="s">
        <v>250</v>
      </c>
      <c r="C183" s="2256">
        <f>IF(D179="Yes",[3]LUC!$J$82,0)</f>
        <v>0</v>
      </c>
      <c r="D183" s="2255" t="s">
        <v>244</v>
      </c>
      <c r="E183" s="2214"/>
      <c r="F183" s="2212"/>
      <c r="G183" s="2212"/>
      <c r="H183" s="2212"/>
      <c r="I183" s="2215">
        <f>$C183*1000000/$E$219</f>
        <v>0</v>
      </c>
      <c r="J183" s="2215">
        <v>0</v>
      </c>
      <c r="K183" s="2215">
        <v>0</v>
      </c>
      <c r="L183" s="2254">
        <f>I183*'[3]Standard values'!$D$10+J183*'[3]Standard values'!$D$11+K183*'[3]Standard values'!$D$12</f>
        <v>0</v>
      </c>
      <c r="M183" s="2194"/>
      <c r="N183" s="2193"/>
      <c r="O183" s="2193"/>
    </row>
    <row r="184" spans="1:15" ht="15.75">
      <c r="A184" s="2248"/>
      <c r="B184" s="2247"/>
      <c r="C184" s="2246"/>
      <c r="D184" s="2212"/>
      <c r="E184" s="2214"/>
      <c r="F184" s="2212"/>
      <c r="G184" s="2212"/>
      <c r="H184" s="2212"/>
      <c r="I184" s="2215"/>
      <c r="J184" s="2215"/>
      <c r="K184" s="2215"/>
      <c r="L184" s="2240"/>
      <c r="M184" s="2194"/>
      <c r="N184" s="2193"/>
      <c r="O184" s="2193"/>
    </row>
    <row r="185" spans="1:15" ht="15.75">
      <c r="A185" s="2214"/>
      <c r="B185" s="2243" t="s">
        <v>249</v>
      </c>
      <c r="C185" s="2242">
        <v>0</v>
      </c>
      <c r="D185" s="2241" t="s">
        <v>242</v>
      </c>
      <c r="E185" s="2214"/>
      <c r="F185" s="2212"/>
      <c r="G185" s="2212"/>
      <c r="H185" s="2212"/>
      <c r="I185" s="2215">
        <f>-C185</f>
        <v>0</v>
      </c>
      <c r="J185" s="2215">
        <v>0</v>
      </c>
      <c r="K185" s="2215">
        <v>0</v>
      </c>
      <c r="L185" s="2254">
        <f>I185*'[3]Standard values'!$D$10+J185*'[3]Standard values'!$D$11+K185*'[3]Standard values'!$D$12</f>
        <v>0</v>
      </c>
      <c r="M185" s="2194"/>
      <c r="N185" s="2193"/>
      <c r="O185" s="2193"/>
    </row>
    <row r="186" spans="1:15">
      <c r="A186" s="2214"/>
      <c r="B186" s="2243" t="str">
        <f>IF(C185=-29,"Year of conversion:","")</f>
        <v/>
      </c>
      <c r="C186" s="2268"/>
      <c r="D186" s="2241" t="str">
        <f>IF(C185=-29,"Fill in the year of conversion","")</f>
        <v/>
      </c>
      <c r="E186" s="2214"/>
      <c r="F186" s="2212"/>
      <c r="G186" s="2212"/>
      <c r="H186" s="2212"/>
      <c r="I186" s="2212"/>
      <c r="J186" s="2212"/>
      <c r="K186" s="2215"/>
      <c r="L186" s="2240">
        <f>SUM(L183:L185)</f>
        <v>0</v>
      </c>
      <c r="M186" s="2194"/>
      <c r="N186" s="2193"/>
      <c r="O186" s="2193"/>
    </row>
    <row r="187" spans="1:15">
      <c r="A187" s="2214"/>
      <c r="B187" s="2243"/>
      <c r="C187" s="2243"/>
      <c r="D187" s="2241"/>
      <c r="E187" s="2214"/>
      <c r="F187" s="2212"/>
      <c r="G187" s="2212"/>
      <c r="H187" s="2212"/>
      <c r="I187" s="2212"/>
      <c r="J187" s="2212"/>
      <c r="K187" s="2215"/>
      <c r="L187" s="2253"/>
      <c r="M187" s="2194"/>
      <c r="N187" s="2193"/>
      <c r="O187" s="2193"/>
    </row>
    <row r="188" spans="1:15" ht="14.25">
      <c r="A188" s="2239"/>
      <c r="B188" s="2237"/>
      <c r="C188" s="2237"/>
      <c r="D188" s="2237"/>
      <c r="E188" s="2239"/>
      <c r="F188" s="2238"/>
      <c r="G188" s="2238"/>
      <c r="H188" s="2238" t="s">
        <v>241</v>
      </c>
      <c r="I188" s="2237"/>
      <c r="J188" s="2236" t="s">
        <v>1451</v>
      </c>
      <c r="K188" s="2235"/>
      <c r="L188" s="2234">
        <f>L186</f>
        <v>0</v>
      </c>
      <c r="M188" s="2194"/>
      <c r="N188" s="2193"/>
      <c r="O188" s="2193"/>
    </row>
    <row r="189" spans="1:15">
      <c r="A189" s="2193"/>
      <c r="B189" s="2193"/>
      <c r="C189" s="2193"/>
      <c r="D189" s="2193"/>
      <c r="E189" s="2193"/>
      <c r="F189" s="2233"/>
      <c r="G189" s="2233"/>
      <c r="H189" s="2233"/>
      <c r="I189" s="2193"/>
      <c r="J189" s="2232"/>
      <c r="K189" s="2231"/>
      <c r="L189" s="2230"/>
      <c r="M189" s="2194"/>
      <c r="N189" s="2193"/>
      <c r="O189" s="2193"/>
    </row>
    <row r="190" spans="1:15">
      <c r="A190" s="2193"/>
      <c r="B190" s="2193"/>
      <c r="C190" s="2193"/>
      <c r="D190" s="2193"/>
      <c r="E190" s="2193"/>
      <c r="F190" s="2233"/>
      <c r="G190" s="2233"/>
      <c r="H190" s="2233"/>
      <c r="I190" s="2193"/>
      <c r="J190" s="2232"/>
      <c r="K190" s="2231"/>
      <c r="L190" s="2230"/>
      <c r="M190" s="2194"/>
      <c r="N190" s="2193"/>
      <c r="O190" s="2193"/>
    </row>
    <row r="191" spans="1:15" ht="15.75">
      <c r="A191" s="2229" t="s">
        <v>248</v>
      </c>
      <c r="B191" s="2252"/>
      <c r="C191" s="2251"/>
      <c r="D191" s="2228"/>
      <c r="E191" s="2250"/>
      <c r="F191" s="2228"/>
      <c r="G191" s="2228"/>
      <c r="H191" s="2228"/>
      <c r="I191" s="2228"/>
      <c r="J191" s="2228"/>
      <c r="K191" s="2228"/>
      <c r="L191" s="2249"/>
      <c r="M191" s="2194"/>
      <c r="N191" s="2193"/>
      <c r="O191" s="2193"/>
    </row>
    <row r="192" spans="1:15" ht="15.75">
      <c r="A192" s="2248"/>
      <c r="B192" s="2247" t="s">
        <v>1192</v>
      </c>
      <c r="C192" s="2246" t="s">
        <v>247</v>
      </c>
      <c r="D192" s="2211"/>
      <c r="E192" s="2214"/>
      <c r="F192" s="2212"/>
      <c r="G192" s="2212"/>
      <c r="H192" s="2212"/>
      <c r="I192" s="2246" t="s">
        <v>243</v>
      </c>
      <c r="J192" s="2245"/>
      <c r="K192" s="2245"/>
      <c r="L192" s="2244"/>
      <c r="M192" s="2194"/>
      <c r="N192" s="2193"/>
      <c r="O192" s="2193"/>
    </row>
    <row r="193" spans="1:15" ht="15.75" customHeight="1">
      <c r="A193" s="2248"/>
      <c r="B193" s="2265"/>
      <c r="C193" s="2267"/>
      <c r="D193" s="2264" t="s">
        <v>747</v>
      </c>
      <c r="E193" s="2263" t="str">
        <f>IF(D195="Yes","From :  ", " ")</f>
        <v xml:space="preserve"> </v>
      </c>
      <c r="F193" s="3240" t="str">
        <f>IF(D195="Yes",[3]Esca!H$42 &amp; ", " &amp; [3]Esca!H$43 &amp; " input ","")</f>
        <v/>
      </c>
      <c r="G193" s="3240"/>
      <c r="H193" s="3240"/>
      <c r="I193" s="3240"/>
      <c r="J193" s="3240"/>
      <c r="K193" s="3240"/>
      <c r="L193" s="3241"/>
      <c r="M193" s="2194"/>
      <c r="N193" s="2193"/>
      <c r="O193" s="2193"/>
    </row>
    <row r="194" spans="1:15" ht="15.75">
      <c r="A194" s="2248"/>
      <c r="B194" s="2243" t="s">
        <v>246</v>
      </c>
      <c r="C194" s="2267"/>
      <c r="D194" s="2264" t="s">
        <v>748</v>
      </c>
      <c r="E194" s="2266"/>
      <c r="F194" s="3240"/>
      <c r="G194" s="3240"/>
      <c r="H194" s="3240"/>
      <c r="I194" s="3240"/>
      <c r="J194" s="3240"/>
      <c r="K194" s="3240"/>
      <c r="L194" s="3241"/>
      <c r="M194" s="2194"/>
      <c r="N194" s="2193"/>
      <c r="O194" s="2193"/>
    </row>
    <row r="195" spans="1:15" ht="15.75" customHeight="1">
      <c r="A195" s="2248"/>
      <c r="B195" s="2265"/>
      <c r="C195" s="2261" t="str">
        <f>IF(D195="Yes","Go to", " ")</f>
        <v xml:space="preserve"> </v>
      </c>
      <c r="D195" s="2264" t="s">
        <v>748</v>
      </c>
      <c r="E195" s="2263" t="str">
        <f>IF(D195="Yes","To    :   ", " ")</f>
        <v xml:space="preserve"> </v>
      </c>
      <c r="F195" s="3240" t="str">
        <f>IF(D195="Yes",[3]Esca!D$42 &amp; ", " &amp; [3]Esca!D$43 &amp; " input ","")</f>
        <v/>
      </c>
      <c r="G195" s="3240"/>
      <c r="H195" s="3240"/>
      <c r="I195" s="3240"/>
      <c r="J195" s="3240"/>
      <c r="K195" s="3240"/>
      <c r="L195" s="3241"/>
      <c r="M195" s="2194"/>
      <c r="N195" s="2193"/>
      <c r="O195" s="2193"/>
    </row>
    <row r="196" spans="1:15" ht="15.75">
      <c r="A196" s="2248"/>
      <c r="B196" s="2247"/>
      <c r="C196" s="551" t="str">
        <f>IF(D195="Yes","sheet 'Esca' ", " ")</f>
        <v xml:space="preserve"> </v>
      </c>
      <c r="D196" s="2212"/>
      <c r="E196" s="2260"/>
      <c r="F196" s="3240"/>
      <c r="G196" s="3240"/>
      <c r="H196" s="3240"/>
      <c r="I196" s="3240"/>
      <c r="J196" s="3240"/>
      <c r="K196" s="3240"/>
      <c r="L196" s="3241"/>
      <c r="M196" s="2194"/>
      <c r="N196" s="2193"/>
      <c r="O196" s="2193"/>
    </row>
    <row r="197" spans="1:15" ht="15.75">
      <c r="A197" s="2248"/>
      <c r="B197" s="2247"/>
      <c r="C197" s="2261" t="str">
        <f>IF(D195="Yes","to calculate the soil carbon accumulation", " ")</f>
        <v xml:space="preserve"> </v>
      </c>
      <c r="D197" s="2212"/>
      <c r="E197" s="2260"/>
      <c r="F197" s="2259"/>
      <c r="G197" s="2259"/>
      <c r="H197" s="2259"/>
      <c r="I197" s="2246" t="s">
        <v>243</v>
      </c>
      <c r="J197" s="2245"/>
      <c r="K197" s="2259"/>
      <c r="L197" s="2262"/>
      <c r="M197" s="2194"/>
      <c r="N197" s="2193"/>
      <c r="O197" s="2193"/>
    </row>
    <row r="198" spans="1:15" ht="16.5">
      <c r="A198" s="2248"/>
      <c r="B198" s="2247"/>
      <c r="C198" s="2261"/>
      <c r="D198" s="2212"/>
      <c r="E198" s="2260"/>
      <c r="F198" s="2259"/>
      <c r="G198" s="2259"/>
      <c r="H198" s="2259"/>
      <c r="I198" s="2243" t="s">
        <v>1453</v>
      </c>
      <c r="J198" s="2243" t="s">
        <v>1454</v>
      </c>
      <c r="K198" s="2243" t="s">
        <v>245</v>
      </c>
      <c r="L198" s="2258" t="s">
        <v>1456</v>
      </c>
      <c r="M198" s="2194"/>
      <c r="N198" s="2193"/>
      <c r="O198" s="2193"/>
    </row>
    <row r="199" spans="1:15" ht="16.5">
      <c r="A199" s="2248"/>
      <c r="B199" s="2257" t="s">
        <v>834</v>
      </c>
      <c r="C199" s="2256">
        <f>IF(D195="yes",[3]Esca!$J$77,0)</f>
        <v>0</v>
      </c>
      <c r="D199" s="2255" t="s">
        <v>244</v>
      </c>
      <c r="E199" s="2214"/>
      <c r="F199" s="2212"/>
      <c r="G199" s="2212"/>
      <c r="H199" s="2212"/>
      <c r="I199" s="2215">
        <f>$C199*1000000/$E$219</f>
        <v>0</v>
      </c>
      <c r="J199" s="2215">
        <v>0</v>
      </c>
      <c r="K199" s="2215">
        <v>0</v>
      </c>
      <c r="L199" s="2254">
        <f>I199*'[3]Standard values'!$D$10+J199*'[3]Standard values'!$D$11+K199*'[3]Standard values'!$D$12</f>
        <v>0</v>
      </c>
      <c r="M199" s="2194"/>
      <c r="N199" s="2193"/>
      <c r="O199" s="2193"/>
    </row>
    <row r="200" spans="1:15">
      <c r="A200" s="2214"/>
      <c r="B200" s="2243"/>
      <c r="C200" s="2243"/>
      <c r="D200" s="2241"/>
      <c r="E200" s="2214"/>
      <c r="F200" s="2212"/>
      <c r="G200" s="2212"/>
      <c r="H200" s="2212"/>
      <c r="I200" s="2212"/>
      <c r="J200" s="2212"/>
      <c r="K200" s="2215"/>
      <c r="L200" s="2240">
        <f>SUM(L199:L199)</f>
        <v>0</v>
      </c>
      <c r="M200" s="2194"/>
      <c r="N200" s="2193"/>
      <c r="O200" s="2193"/>
    </row>
    <row r="201" spans="1:15">
      <c r="A201" s="2214"/>
      <c r="B201" s="2243"/>
      <c r="C201" s="2243"/>
      <c r="D201" s="2241"/>
      <c r="E201" s="2214"/>
      <c r="F201" s="2212"/>
      <c r="G201" s="2212"/>
      <c r="H201" s="2212"/>
      <c r="I201" s="2212"/>
      <c r="J201" s="2212"/>
      <c r="K201" s="2215"/>
      <c r="L201" s="2253"/>
      <c r="M201" s="2194"/>
      <c r="N201" s="2193"/>
      <c r="O201" s="2193"/>
    </row>
    <row r="202" spans="1:15" ht="14.25">
      <c r="A202" s="2239"/>
      <c r="B202" s="2237"/>
      <c r="C202" s="2237"/>
      <c r="D202" s="2237"/>
      <c r="E202" s="2239"/>
      <c r="F202" s="2238"/>
      <c r="G202" s="2238"/>
      <c r="H202" s="2238" t="s">
        <v>241</v>
      </c>
      <c r="I202" s="2237"/>
      <c r="J202" s="2236" t="s">
        <v>1451</v>
      </c>
      <c r="K202" s="2235"/>
      <c r="L202" s="2234">
        <f>L200</f>
        <v>0</v>
      </c>
      <c r="M202" s="2194"/>
      <c r="N202" s="2193"/>
      <c r="O202" s="2193"/>
    </row>
    <row r="203" spans="1:15">
      <c r="A203" s="2193"/>
      <c r="B203" s="2193"/>
      <c r="C203" s="2193"/>
      <c r="D203" s="2193"/>
      <c r="E203" s="2193"/>
      <c r="F203" s="2233"/>
      <c r="G203" s="2233"/>
      <c r="H203" s="2233"/>
      <c r="I203" s="2193"/>
      <c r="J203" s="2232"/>
      <c r="K203" s="2231"/>
      <c r="L203" s="2230"/>
      <c r="M203" s="2194"/>
      <c r="N203" s="2193"/>
      <c r="O203" s="2193"/>
    </row>
    <row r="204" spans="1:15">
      <c r="A204" s="2193"/>
      <c r="B204" s="2193"/>
      <c r="C204" s="2193"/>
      <c r="D204" s="2193"/>
      <c r="E204" s="2193"/>
      <c r="F204" s="2233"/>
      <c r="G204" s="2233"/>
      <c r="H204" s="2233"/>
      <c r="I204" s="2193"/>
      <c r="J204" s="2232"/>
      <c r="K204" s="2231"/>
      <c r="L204" s="2230"/>
      <c r="M204" s="2194"/>
      <c r="N204" s="2193"/>
      <c r="O204" s="2193"/>
    </row>
    <row r="205" spans="1:15" ht="18.75">
      <c r="A205" s="2229" t="s">
        <v>1190</v>
      </c>
      <c r="B205" s="2252"/>
      <c r="C205" s="2251"/>
      <c r="D205" s="2228"/>
      <c r="E205" s="2250"/>
      <c r="F205" s="2228"/>
      <c r="G205" s="2228"/>
      <c r="H205" s="2228"/>
      <c r="I205" s="2228"/>
      <c r="J205" s="2228"/>
      <c r="K205" s="2228"/>
      <c r="L205" s="2249"/>
      <c r="M205" s="2194"/>
      <c r="N205" s="2193"/>
      <c r="O205" s="2193"/>
    </row>
    <row r="206" spans="1:15" ht="15.75">
      <c r="A206" s="2248"/>
      <c r="B206" s="2247" t="s">
        <v>1188</v>
      </c>
      <c r="C206" s="2246"/>
      <c r="D206" s="2212"/>
      <c r="E206" s="2214"/>
      <c r="F206" s="2212"/>
      <c r="G206" s="2212"/>
      <c r="H206" s="2212"/>
      <c r="I206" s="2246" t="s">
        <v>1165</v>
      </c>
      <c r="J206" s="2245"/>
      <c r="K206" s="2245"/>
      <c r="L206" s="2244"/>
      <c r="M206" s="2194"/>
      <c r="N206" s="2193"/>
      <c r="O206" s="2193"/>
    </row>
    <row r="207" spans="1:15" ht="15.75">
      <c r="A207" s="2214"/>
      <c r="B207" s="2243"/>
      <c r="C207" s="2242">
        <v>0</v>
      </c>
      <c r="D207" s="2241" t="s">
        <v>100</v>
      </c>
      <c r="E207" s="2214"/>
      <c r="F207" s="2212"/>
      <c r="G207" s="2212"/>
      <c r="H207" s="2212"/>
      <c r="I207" s="2212"/>
      <c r="J207" s="2212"/>
      <c r="K207" s="2215"/>
      <c r="L207" s="2240">
        <f>C207</f>
        <v>0</v>
      </c>
      <c r="M207" s="2194"/>
      <c r="N207" s="2193"/>
      <c r="O207" s="2193"/>
    </row>
    <row r="208" spans="1:15" ht="14.25">
      <c r="A208" s="2239"/>
      <c r="B208" s="2237"/>
      <c r="C208" s="2503"/>
      <c r="D208" s="2237"/>
      <c r="E208" s="2239"/>
      <c r="F208" s="2238"/>
      <c r="G208" s="2238"/>
      <c r="H208" s="2238" t="s">
        <v>241</v>
      </c>
      <c r="I208" s="2237"/>
      <c r="J208" s="2236" t="s">
        <v>97</v>
      </c>
      <c r="K208" s="2235"/>
      <c r="L208" s="2234">
        <f>C207</f>
        <v>0</v>
      </c>
      <c r="M208" s="2194"/>
      <c r="N208" s="2193"/>
      <c r="O208" s="2193"/>
    </row>
    <row r="209" spans="1:15">
      <c r="A209" s="2193"/>
      <c r="B209" s="2193"/>
      <c r="C209" s="2193"/>
      <c r="D209" s="2193"/>
      <c r="E209" s="2193"/>
      <c r="F209" s="2233"/>
      <c r="G209" s="2233"/>
      <c r="H209" s="2233"/>
      <c r="I209" s="2193"/>
      <c r="J209" s="2232"/>
      <c r="K209" s="2231"/>
      <c r="L209" s="2230"/>
      <c r="M209" s="2194"/>
      <c r="N209" s="2193"/>
      <c r="O209" s="2193"/>
    </row>
    <row r="210" spans="1:15">
      <c r="A210" s="2193"/>
      <c r="B210" s="2193"/>
      <c r="C210" s="2193"/>
      <c r="D210" s="2193"/>
      <c r="E210" s="2193"/>
      <c r="F210" s="2233"/>
      <c r="G210" s="2233"/>
      <c r="H210" s="2233"/>
      <c r="I210" s="2193"/>
      <c r="J210" s="2232"/>
      <c r="K210" s="2231"/>
      <c r="L210" s="2230"/>
      <c r="M210" s="2194"/>
      <c r="N210" s="2193"/>
      <c r="O210" s="2193"/>
    </row>
    <row r="211" spans="1:15" ht="18.75">
      <c r="A211" s="2229" t="s">
        <v>1191</v>
      </c>
      <c r="B211" s="2252"/>
      <c r="C211" s="2251"/>
      <c r="D211" s="2228"/>
      <c r="E211" s="2250"/>
      <c r="F211" s="2228"/>
      <c r="G211" s="2228"/>
      <c r="H211" s="2228"/>
      <c r="I211" s="2228"/>
      <c r="J211" s="2228"/>
      <c r="K211" s="2228"/>
      <c r="L211" s="2249"/>
      <c r="M211" s="2194"/>
      <c r="N211" s="2193"/>
      <c r="O211" s="2193"/>
    </row>
    <row r="212" spans="1:15" ht="15.75">
      <c r="A212" s="2248"/>
      <c r="B212" s="2247" t="s">
        <v>1189</v>
      </c>
      <c r="C212" s="2246"/>
      <c r="D212" s="2212"/>
      <c r="E212" s="2214"/>
      <c r="F212" s="2212"/>
      <c r="G212" s="2212"/>
      <c r="H212" s="2212"/>
      <c r="I212" s="2246" t="s">
        <v>1165</v>
      </c>
      <c r="J212" s="2245"/>
      <c r="K212" s="2245"/>
      <c r="L212" s="2244"/>
      <c r="M212" s="2194"/>
      <c r="N212" s="2193"/>
      <c r="O212" s="2193"/>
    </row>
    <row r="213" spans="1:15" ht="15.75">
      <c r="A213" s="2214"/>
      <c r="B213" s="2243"/>
      <c r="C213" s="2242">
        <v>0</v>
      </c>
      <c r="D213" s="2241" t="s">
        <v>100</v>
      </c>
      <c r="E213" s="2214"/>
      <c r="F213" s="2212"/>
      <c r="G213" s="2212"/>
      <c r="H213" s="2212"/>
      <c r="I213" s="2212"/>
      <c r="J213" s="2212"/>
      <c r="K213" s="2215"/>
      <c r="L213" s="2240">
        <f>C213</f>
        <v>0</v>
      </c>
      <c r="M213" s="2194"/>
      <c r="N213" s="2193"/>
      <c r="O213" s="2193"/>
    </row>
    <row r="214" spans="1:15" ht="14.25">
      <c r="A214" s="2239"/>
      <c r="B214" s="2237"/>
      <c r="C214" s="2237"/>
      <c r="D214" s="2237"/>
      <c r="E214" s="2239"/>
      <c r="F214" s="2238"/>
      <c r="G214" s="2238"/>
      <c r="H214" s="2238" t="s">
        <v>241</v>
      </c>
      <c r="I214" s="2237"/>
      <c r="J214" s="2236" t="s">
        <v>97</v>
      </c>
      <c r="K214" s="2235"/>
      <c r="L214" s="2234">
        <f>C213</f>
        <v>0</v>
      </c>
      <c r="M214" s="2194"/>
      <c r="N214" s="2193"/>
      <c r="O214" s="2193"/>
    </row>
    <row r="215" spans="1:15">
      <c r="A215" s="2193"/>
      <c r="B215" s="2193"/>
      <c r="C215" s="2193"/>
      <c r="D215" s="2193"/>
      <c r="E215" s="2193"/>
      <c r="F215" s="2233"/>
      <c r="G215" s="2233"/>
      <c r="H215" s="2233"/>
      <c r="I215" s="2193"/>
      <c r="J215" s="2232"/>
      <c r="K215" s="2231"/>
      <c r="L215" s="2230"/>
      <c r="M215" s="2194"/>
      <c r="N215" s="2193"/>
      <c r="O215" s="2193"/>
    </row>
    <row r="216" spans="1:15">
      <c r="A216" s="2193"/>
      <c r="B216" s="2193"/>
      <c r="C216" s="2193"/>
      <c r="D216" s="2193"/>
      <c r="E216" s="2193"/>
      <c r="F216" s="2233"/>
      <c r="G216" s="2233"/>
      <c r="H216" s="2233"/>
      <c r="I216" s="2193"/>
      <c r="J216" s="2232"/>
      <c r="K216" s="2231"/>
      <c r="L216" s="2230"/>
      <c r="M216" s="2194"/>
      <c r="N216" s="2193"/>
      <c r="O216" s="2193"/>
    </row>
    <row r="217" spans="1:15" ht="15.75">
      <c r="A217" s="2229" t="s">
        <v>240</v>
      </c>
      <c r="B217" s="2228"/>
      <c r="C217" s="2228"/>
      <c r="D217" s="2228"/>
      <c r="E217" s="2227" t="s">
        <v>239</v>
      </c>
      <c r="F217" s="2226"/>
      <c r="G217" s="2226"/>
      <c r="H217" s="2226"/>
      <c r="I217" s="2224"/>
      <c r="J217" s="2502" t="s">
        <v>97</v>
      </c>
      <c r="K217" s="2224"/>
      <c r="L217" s="2223">
        <f>L96+L164+L172+L188-L202-L208-L214</f>
        <v>35.667526177680308</v>
      </c>
      <c r="M217" s="2194"/>
      <c r="N217" s="2193"/>
      <c r="O217" s="2193"/>
    </row>
    <row r="218" spans="1:15" ht="15.75">
      <c r="A218" s="2222"/>
      <c r="B218" s="2221"/>
      <c r="C218" s="2221"/>
      <c r="D218" s="2221"/>
      <c r="E218" s="2220"/>
      <c r="F218" s="2220"/>
      <c r="G218" s="2220"/>
      <c r="H218" s="2220"/>
      <c r="I218" s="2220"/>
      <c r="J218" s="2220"/>
      <c r="K218" s="2220"/>
      <c r="L218" s="2219"/>
      <c r="M218" s="2194"/>
      <c r="N218" s="2193"/>
      <c r="O218" s="2193"/>
    </row>
    <row r="219" spans="1:15" ht="15.75">
      <c r="A219" s="2214"/>
      <c r="B219" s="2212"/>
      <c r="C219" s="2212"/>
      <c r="D219" s="2217" t="s">
        <v>238</v>
      </c>
      <c r="E219" s="2218">
        <f>E24*C48*C59*C70*C101*C122*C156*C168</f>
        <v>42790.945045880188</v>
      </c>
      <c r="F219" s="2278" t="s">
        <v>99</v>
      </c>
      <c r="G219" s="2278"/>
      <c r="H219" s="2212"/>
      <c r="I219" s="2212"/>
      <c r="J219" s="2212"/>
      <c r="K219" s="2212"/>
      <c r="L219" s="2211"/>
      <c r="M219" s="2194"/>
      <c r="N219" s="2193"/>
      <c r="O219" s="2193"/>
    </row>
    <row r="220" spans="1:15" ht="15.75">
      <c r="A220" s="2214"/>
      <c r="B220" s="2212"/>
      <c r="C220" s="2212"/>
      <c r="D220" s="2217" t="s">
        <v>237</v>
      </c>
      <c r="E220" s="2216">
        <f>E219/E24</f>
        <v>0.57844828987377617</v>
      </c>
      <c r="F220" s="2212" t="s">
        <v>98</v>
      </c>
      <c r="G220" s="2212"/>
      <c r="H220" s="2212"/>
      <c r="I220" s="2215"/>
      <c r="J220" s="2212"/>
      <c r="K220" s="2212"/>
      <c r="L220" s="2211"/>
      <c r="M220" s="2194"/>
      <c r="N220" s="2193"/>
      <c r="O220" s="2193"/>
    </row>
    <row r="221" spans="1:15">
      <c r="A221" s="2214"/>
      <c r="B221" s="2212"/>
      <c r="C221" s="2212"/>
      <c r="D221" s="2212"/>
      <c r="E221" s="2212"/>
      <c r="F221" s="2213"/>
      <c r="G221" s="2213"/>
      <c r="H221" s="2212"/>
      <c r="I221" s="2215"/>
      <c r="J221" s="2212"/>
      <c r="K221" s="2212"/>
      <c r="L221" s="2211"/>
      <c r="M221" s="2194"/>
      <c r="N221" s="2193"/>
      <c r="O221" s="2193"/>
    </row>
    <row r="222" spans="1:15">
      <c r="A222" s="2214"/>
      <c r="B222" s="2212"/>
      <c r="C222" s="2212"/>
      <c r="D222" s="2212"/>
      <c r="E222" s="2212"/>
      <c r="F222" s="2213"/>
      <c r="G222" s="2213"/>
      <c r="H222" s="2212"/>
      <c r="I222" s="2212"/>
      <c r="J222" s="2212"/>
      <c r="K222" s="2212"/>
      <c r="L222" s="2211"/>
      <c r="M222" s="2194"/>
      <c r="N222" s="2193"/>
      <c r="O222" s="2193"/>
    </row>
    <row r="223" spans="1:15" ht="14.25">
      <c r="A223" s="2498"/>
      <c r="B223" s="2438"/>
      <c r="C223" s="2438"/>
      <c r="D223" s="2438"/>
      <c r="E223" s="2205" t="s">
        <v>235</v>
      </c>
      <c r="F223" s="2210"/>
      <c r="G223" s="2210"/>
      <c r="H223" s="2201"/>
      <c r="I223" s="2438"/>
      <c r="J223" s="2205" t="s">
        <v>97</v>
      </c>
      <c r="K223" s="2201"/>
      <c r="L223" s="2209">
        <f>L44+L55+L65+L87+L117+L143+L164+L172+L188-L202-L208-L214</f>
        <v>76.104417707835125</v>
      </c>
      <c r="M223" s="2194"/>
      <c r="N223" s="2193"/>
      <c r="O223" s="2193"/>
    </row>
    <row r="224" spans="1:15" ht="14.25">
      <c r="A224" s="2501"/>
      <c r="B224" s="2500"/>
      <c r="C224" s="2499"/>
      <c r="D224" s="2438"/>
      <c r="E224" s="2205" t="s">
        <v>234</v>
      </c>
      <c r="F224" s="2438"/>
      <c r="G224" s="2438"/>
      <c r="H224" s="2438"/>
      <c r="I224" s="2438"/>
      <c r="J224" s="2205" t="s">
        <v>97</v>
      </c>
      <c r="K224" s="2438"/>
      <c r="L224" s="2204">
        <f>L152+L164+L172+L188-L202-L208-L214</f>
        <v>52.033038333763464</v>
      </c>
      <c r="M224" s="2194"/>
      <c r="N224" s="2193"/>
      <c r="O224" s="2193"/>
    </row>
    <row r="225" spans="1:15">
      <c r="A225" s="2498"/>
      <c r="B225" s="2438"/>
      <c r="C225" s="2438"/>
      <c r="D225" s="2438"/>
      <c r="E225" s="2438"/>
      <c r="F225" s="2497"/>
      <c r="G225" s="2497"/>
      <c r="H225" s="2438"/>
      <c r="I225" s="2438"/>
      <c r="J225" s="2438"/>
      <c r="K225" s="2438"/>
      <c r="L225" s="2496"/>
      <c r="M225" s="2194"/>
      <c r="N225" s="2193"/>
      <c r="O225" s="2193"/>
    </row>
    <row r="226" spans="1:15">
      <c r="A226" s="2239"/>
      <c r="B226" s="2237"/>
      <c r="C226" s="2237"/>
      <c r="D226" s="2237"/>
      <c r="E226" s="2197" t="s">
        <v>233</v>
      </c>
      <c r="F226" s="2196"/>
      <c r="G226" s="2196"/>
      <c r="H226" s="2196"/>
      <c r="I226" s="2196"/>
      <c r="J226" s="2196"/>
      <c r="K226" s="2196"/>
      <c r="L226" s="2195">
        <f>(83.8-L224)/83.8</f>
        <v>0.3790806881412474</v>
      </c>
      <c r="M226" s="2194"/>
      <c r="N226" s="2193"/>
      <c r="O226" s="2193"/>
    </row>
    <row r="227" spans="1:15">
      <c r="M227" s="2183"/>
    </row>
    <row r="228" spans="1:15">
      <c r="E228" s="2185"/>
      <c r="F228" s="2185"/>
      <c r="G228" s="2185"/>
      <c r="H228" s="2192"/>
      <c r="I228" s="2185"/>
      <c r="J228" s="2185"/>
      <c r="K228" s="2185"/>
      <c r="L228" s="2191"/>
      <c r="M228" s="2183"/>
    </row>
    <row r="229" spans="1:15">
      <c r="F229" s="2185"/>
      <c r="G229" s="2185"/>
      <c r="H229" s="2185"/>
      <c r="I229" s="2188"/>
      <c r="J229" s="2185"/>
      <c r="K229" s="2185"/>
      <c r="L229" s="2190"/>
      <c r="M229" s="2186"/>
      <c r="N229" s="2183"/>
    </row>
    <row r="230" spans="1:15">
      <c r="F230" s="2185"/>
      <c r="G230" s="2185"/>
      <c r="H230" s="2185"/>
      <c r="I230" s="2188"/>
      <c r="J230" s="2185"/>
      <c r="K230" s="2185"/>
      <c r="L230" s="2190"/>
      <c r="M230" s="2186"/>
      <c r="N230" s="2183"/>
    </row>
    <row r="231" spans="1:15" ht="15.75">
      <c r="F231" s="2189"/>
      <c r="G231" s="2189"/>
      <c r="H231" s="2185"/>
      <c r="I231" s="2185"/>
      <c r="J231" s="2185"/>
      <c r="K231" s="2185"/>
      <c r="L231" s="2185"/>
      <c r="M231" s="2185"/>
      <c r="N231" s="2183"/>
    </row>
    <row r="232" spans="1:15">
      <c r="F232" s="2185"/>
      <c r="G232" s="2185"/>
      <c r="H232" s="2188"/>
      <c r="I232" s="2185"/>
      <c r="J232" s="2185"/>
      <c r="K232" s="2185"/>
      <c r="L232" s="2185"/>
      <c r="M232" s="2185"/>
      <c r="N232" s="2185"/>
    </row>
    <row r="233" spans="1:15">
      <c r="F233" s="2188"/>
      <c r="G233" s="2188"/>
      <c r="H233" s="2185"/>
      <c r="I233" s="2187"/>
      <c r="J233" s="2185"/>
      <c r="K233" s="2185"/>
      <c r="L233" s="2185"/>
      <c r="M233" s="2185"/>
      <c r="N233" s="2185"/>
    </row>
    <row r="234" spans="1:15">
      <c r="F234" s="2188"/>
      <c r="G234" s="2188"/>
      <c r="H234" s="2185"/>
      <c r="I234" s="2187"/>
      <c r="J234" s="2185"/>
      <c r="K234" s="2185"/>
      <c r="L234" s="2185"/>
      <c r="M234" s="2185"/>
      <c r="N234" s="2185"/>
    </row>
    <row r="235" spans="1:15">
      <c r="F235" s="2185"/>
      <c r="G235" s="2185"/>
      <c r="H235" s="2186"/>
      <c r="I235" s="2185"/>
      <c r="J235" s="2185"/>
      <c r="K235" s="2185"/>
      <c r="L235" s="2185"/>
      <c r="M235" s="2185"/>
      <c r="N235" s="2185"/>
    </row>
    <row r="236" spans="1:15">
      <c r="F236" s="2185"/>
      <c r="G236" s="2185"/>
      <c r="H236" s="2185"/>
      <c r="I236" s="2185"/>
      <c r="J236" s="2185"/>
      <c r="K236" s="2185"/>
      <c r="L236" s="2185"/>
      <c r="M236" s="2185"/>
      <c r="N236" s="2185"/>
    </row>
    <row r="237" spans="1:15">
      <c r="F237" s="2185"/>
      <c r="G237" s="2185"/>
      <c r="H237" s="2185"/>
      <c r="I237" s="2185"/>
      <c r="J237" s="2185"/>
      <c r="K237" s="2185"/>
      <c r="L237" s="2185"/>
      <c r="M237" s="2185"/>
      <c r="N237" s="2185"/>
    </row>
    <row r="238" spans="1:15">
      <c r="F238" s="2185"/>
      <c r="G238" s="2185"/>
      <c r="H238" s="2185"/>
      <c r="I238" s="2185"/>
      <c r="J238" s="2185"/>
      <c r="K238" s="2185"/>
      <c r="L238" s="2185"/>
      <c r="M238" s="2185"/>
      <c r="N238" s="2185"/>
    </row>
    <row r="239" spans="1:15">
      <c r="F239" s="2185"/>
      <c r="G239" s="2185"/>
      <c r="H239" s="2185"/>
      <c r="I239" s="2185"/>
      <c r="J239" s="2185"/>
      <c r="K239" s="2185"/>
      <c r="L239" s="2185"/>
      <c r="M239" s="2185"/>
      <c r="N239" s="2185"/>
    </row>
    <row r="240" spans="1:15">
      <c r="F240" s="2185"/>
      <c r="G240" s="2185"/>
      <c r="H240" s="2185"/>
      <c r="I240" s="2185"/>
      <c r="J240" s="2185"/>
      <c r="K240" s="2185"/>
      <c r="L240" s="2185"/>
      <c r="M240" s="2185"/>
      <c r="N240" s="2185"/>
    </row>
    <row r="241" spans="6:14" s="2183" customFormat="1">
      <c r="F241" s="2185"/>
      <c r="G241" s="2185"/>
      <c r="H241" s="2185"/>
      <c r="I241" s="2185"/>
      <c r="J241" s="2185"/>
      <c r="K241" s="2185"/>
      <c r="L241" s="2185"/>
      <c r="M241" s="2185"/>
      <c r="N241" s="2185"/>
    </row>
    <row r="242" spans="6:14" s="2183" customFormat="1">
      <c r="F242" s="2185"/>
      <c r="G242" s="2185"/>
      <c r="H242" s="2185"/>
      <c r="I242" s="2185"/>
      <c r="J242" s="2185"/>
      <c r="K242" s="2185"/>
      <c r="L242" s="2185"/>
      <c r="M242" s="2185"/>
      <c r="N242" s="2185"/>
    </row>
    <row r="243" spans="6:14" s="2183" customFormat="1">
      <c r="F243" s="2185"/>
      <c r="G243" s="2185"/>
      <c r="H243" s="2185"/>
      <c r="I243" s="2185"/>
      <c r="J243" s="2185"/>
      <c r="K243" s="2185"/>
      <c r="L243" s="2185"/>
      <c r="M243" s="2185"/>
      <c r="N243" s="2185"/>
    </row>
    <row r="244" spans="6:14" s="2183" customFormat="1">
      <c r="F244" s="2185"/>
      <c r="G244" s="2185"/>
      <c r="H244" s="2185"/>
      <c r="I244" s="2185"/>
      <c r="J244" s="2185"/>
      <c r="K244" s="2185"/>
      <c r="L244" s="2185"/>
      <c r="M244" s="2185"/>
      <c r="N244" s="2185"/>
    </row>
    <row r="245" spans="6:14" s="2183" customFormat="1">
      <c r="F245" s="2185"/>
      <c r="G245" s="2185"/>
      <c r="H245" s="2185"/>
      <c r="I245" s="2185"/>
      <c r="J245" s="2185"/>
      <c r="K245" s="2185"/>
      <c r="L245" s="2185"/>
      <c r="M245" s="2185"/>
      <c r="N245" s="2185"/>
    </row>
    <row r="246" spans="6:14" s="2183" customFormat="1">
      <c r="F246" s="2185"/>
      <c r="G246" s="2185"/>
      <c r="H246" s="2185"/>
      <c r="I246" s="2185"/>
      <c r="J246" s="2185"/>
      <c r="K246" s="2185"/>
      <c r="L246" s="2185"/>
      <c r="M246" s="2185"/>
      <c r="N246" s="2185"/>
    </row>
    <row r="247" spans="6:14" s="2183" customFormat="1">
      <c r="F247" s="2185"/>
      <c r="G247" s="2185"/>
      <c r="H247" s="2185"/>
      <c r="I247" s="2185"/>
      <c r="J247" s="2185"/>
      <c r="K247" s="2185"/>
      <c r="L247" s="2185"/>
      <c r="M247" s="2185"/>
      <c r="N247" s="2185"/>
    </row>
  </sheetData>
  <mergeCells count="6">
    <mergeCell ref="F193:L194"/>
    <mergeCell ref="F195:L196"/>
    <mergeCell ref="H11:H12"/>
    <mergeCell ref="O11:O12"/>
    <mergeCell ref="F177:L178"/>
    <mergeCell ref="F179:L180"/>
  </mergeCells>
  <conditionalFormatting sqref="O9:O20">
    <cfRule type="cellIs" dxfId="3" priority="1" stopIfTrue="1" operator="notBetween">
      <formula>-0.05</formula>
      <formula>0.05</formula>
    </cfRule>
  </conditionalFormatting>
  <dataValidations count="2">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formula1>"A,D"</formula1>
    </dataValidation>
    <dataValidation type="list" showDropDown="1" showInputMessage="1" showErrorMessage="1" errorTitle="Wrong input" error="Only values &quot;0&quot; and &quot;-29&quot; are allowed_x000a_" sqref="C185 IY185 SU185 ACQ185 AMM185 AWI185 BGE185 BQA185 BZW185 CJS185 CTO185 DDK185 DNG185 DXC185 EGY185 EQU185 FAQ185 FKM185 FUI185 GEE185 GOA185 GXW185 HHS185 HRO185 IBK185 ILG185 IVC185 JEY185 JOU185 JYQ185 KIM185 KSI185 LCE185 LMA185 LVW185 MFS185 MPO185 MZK185 NJG185 NTC185 OCY185 OMU185 OWQ185 PGM185 PQI185 QAE185 QKA185 QTW185 RDS185 RNO185 RXK185 SHG185 SRC185 TAY185 TKU185 TUQ185 UEM185 UOI185 UYE185 VIA185 VRW185 WBS185 WLO185 WVK185 C65721 IY65721 SU65721 ACQ65721 AMM65721 AWI65721 BGE65721 BQA65721 BZW65721 CJS65721 CTO65721 DDK65721 DNG65721 DXC65721 EGY65721 EQU65721 FAQ65721 FKM65721 FUI65721 GEE65721 GOA65721 GXW65721 HHS65721 HRO65721 IBK65721 ILG65721 IVC65721 JEY65721 JOU65721 JYQ65721 KIM65721 KSI65721 LCE65721 LMA65721 LVW65721 MFS65721 MPO65721 MZK65721 NJG65721 NTC65721 OCY65721 OMU65721 OWQ65721 PGM65721 PQI65721 QAE65721 QKA65721 QTW65721 RDS65721 RNO65721 RXK65721 SHG65721 SRC65721 TAY65721 TKU65721 TUQ65721 UEM65721 UOI65721 UYE65721 VIA65721 VRW65721 WBS65721 WLO65721 WVK65721 C131257 IY131257 SU131257 ACQ131257 AMM131257 AWI131257 BGE131257 BQA131257 BZW131257 CJS131257 CTO131257 DDK131257 DNG131257 DXC131257 EGY131257 EQU131257 FAQ131257 FKM131257 FUI131257 GEE131257 GOA131257 GXW131257 HHS131257 HRO131257 IBK131257 ILG131257 IVC131257 JEY131257 JOU131257 JYQ131257 KIM131257 KSI131257 LCE131257 LMA131257 LVW131257 MFS131257 MPO131257 MZK131257 NJG131257 NTC131257 OCY131257 OMU131257 OWQ131257 PGM131257 PQI131257 QAE131257 QKA131257 QTW131257 RDS131257 RNO131257 RXK131257 SHG131257 SRC131257 TAY131257 TKU131257 TUQ131257 UEM131257 UOI131257 UYE131257 VIA131257 VRW131257 WBS131257 WLO131257 WVK131257 C196793 IY196793 SU196793 ACQ196793 AMM196793 AWI196793 BGE196793 BQA196793 BZW196793 CJS196793 CTO196793 DDK196793 DNG196793 DXC196793 EGY196793 EQU196793 FAQ196793 FKM196793 FUI196793 GEE196793 GOA196793 GXW196793 HHS196793 HRO196793 IBK196793 ILG196793 IVC196793 JEY196793 JOU196793 JYQ196793 KIM196793 KSI196793 LCE196793 LMA196793 LVW196793 MFS196793 MPO196793 MZK196793 NJG196793 NTC196793 OCY196793 OMU196793 OWQ196793 PGM196793 PQI196793 QAE196793 QKA196793 QTW196793 RDS196793 RNO196793 RXK196793 SHG196793 SRC196793 TAY196793 TKU196793 TUQ196793 UEM196793 UOI196793 UYE196793 VIA196793 VRW196793 WBS196793 WLO196793 WVK196793 C262329 IY262329 SU262329 ACQ262329 AMM262329 AWI262329 BGE262329 BQA262329 BZW262329 CJS262329 CTO262329 DDK262329 DNG262329 DXC262329 EGY262329 EQU262329 FAQ262329 FKM262329 FUI262329 GEE262329 GOA262329 GXW262329 HHS262329 HRO262329 IBK262329 ILG262329 IVC262329 JEY262329 JOU262329 JYQ262329 KIM262329 KSI262329 LCE262329 LMA262329 LVW262329 MFS262329 MPO262329 MZK262329 NJG262329 NTC262329 OCY262329 OMU262329 OWQ262329 PGM262329 PQI262329 QAE262329 QKA262329 QTW262329 RDS262329 RNO262329 RXK262329 SHG262329 SRC262329 TAY262329 TKU262329 TUQ262329 UEM262329 UOI262329 UYE262329 VIA262329 VRW262329 WBS262329 WLO262329 WVK262329 C327865 IY327865 SU327865 ACQ327865 AMM327865 AWI327865 BGE327865 BQA327865 BZW327865 CJS327865 CTO327865 DDK327865 DNG327865 DXC327865 EGY327865 EQU327865 FAQ327865 FKM327865 FUI327865 GEE327865 GOA327865 GXW327865 HHS327865 HRO327865 IBK327865 ILG327865 IVC327865 JEY327865 JOU327865 JYQ327865 KIM327865 KSI327865 LCE327865 LMA327865 LVW327865 MFS327865 MPO327865 MZK327865 NJG327865 NTC327865 OCY327865 OMU327865 OWQ327865 PGM327865 PQI327865 QAE327865 QKA327865 QTW327865 RDS327865 RNO327865 RXK327865 SHG327865 SRC327865 TAY327865 TKU327865 TUQ327865 UEM327865 UOI327865 UYE327865 VIA327865 VRW327865 WBS327865 WLO327865 WVK327865 C393401 IY393401 SU393401 ACQ393401 AMM393401 AWI393401 BGE393401 BQA393401 BZW393401 CJS393401 CTO393401 DDK393401 DNG393401 DXC393401 EGY393401 EQU393401 FAQ393401 FKM393401 FUI393401 GEE393401 GOA393401 GXW393401 HHS393401 HRO393401 IBK393401 ILG393401 IVC393401 JEY393401 JOU393401 JYQ393401 KIM393401 KSI393401 LCE393401 LMA393401 LVW393401 MFS393401 MPO393401 MZK393401 NJG393401 NTC393401 OCY393401 OMU393401 OWQ393401 PGM393401 PQI393401 QAE393401 QKA393401 QTW393401 RDS393401 RNO393401 RXK393401 SHG393401 SRC393401 TAY393401 TKU393401 TUQ393401 UEM393401 UOI393401 UYE393401 VIA393401 VRW393401 WBS393401 WLO393401 WVK393401 C458937 IY458937 SU458937 ACQ458937 AMM458937 AWI458937 BGE458937 BQA458937 BZW458937 CJS458937 CTO458937 DDK458937 DNG458937 DXC458937 EGY458937 EQU458937 FAQ458937 FKM458937 FUI458937 GEE458937 GOA458937 GXW458937 HHS458937 HRO458937 IBK458937 ILG458937 IVC458937 JEY458937 JOU458937 JYQ458937 KIM458937 KSI458937 LCE458937 LMA458937 LVW458937 MFS458937 MPO458937 MZK458937 NJG458937 NTC458937 OCY458937 OMU458937 OWQ458937 PGM458937 PQI458937 QAE458937 QKA458937 QTW458937 RDS458937 RNO458937 RXK458937 SHG458937 SRC458937 TAY458937 TKU458937 TUQ458937 UEM458937 UOI458937 UYE458937 VIA458937 VRW458937 WBS458937 WLO458937 WVK458937 C524473 IY524473 SU524473 ACQ524473 AMM524473 AWI524473 BGE524473 BQA524473 BZW524473 CJS524473 CTO524473 DDK524473 DNG524473 DXC524473 EGY524473 EQU524473 FAQ524473 FKM524473 FUI524473 GEE524473 GOA524473 GXW524473 HHS524473 HRO524473 IBK524473 ILG524473 IVC524473 JEY524473 JOU524473 JYQ524473 KIM524473 KSI524473 LCE524473 LMA524473 LVW524473 MFS524473 MPO524473 MZK524473 NJG524473 NTC524473 OCY524473 OMU524473 OWQ524473 PGM524473 PQI524473 QAE524473 QKA524473 QTW524473 RDS524473 RNO524473 RXK524473 SHG524473 SRC524473 TAY524473 TKU524473 TUQ524473 UEM524473 UOI524473 UYE524473 VIA524473 VRW524473 WBS524473 WLO524473 WVK524473 C590009 IY590009 SU590009 ACQ590009 AMM590009 AWI590009 BGE590009 BQA590009 BZW590009 CJS590009 CTO590009 DDK590009 DNG590009 DXC590009 EGY590009 EQU590009 FAQ590009 FKM590009 FUI590009 GEE590009 GOA590009 GXW590009 HHS590009 HRO590009 IBK590009 ILG590009 IVC590009 JEY590009 JOU590009 JYQ590009 KIM590009 KSI590009 LCE590009 LMA590009 LVW590009 MFS590009 MPO590009 MZK590009 NJG590009 NTC590009 OCY590009 OMU590009 OWQ590009 PGM590009 PQI590009 QAE590009 QKA590009 QTW590009 RDS590009 RNO590009 RXK590009 SHG590009 SRC590009 TAY590009 TKU590009 TUQ590009 UEM590009 UOI590009 UYE590009 VIA590009 VRW590009 WBS590009 WLO590009 WVK590009 C655545 IY655545 SU655545 ACQ655545 AMM655545 AWI655545 BGE655545 BQA655545 BZW655545 CJS655545 CTO655545 DDK655545 DNG655545 DXC655545 EGY655545 EQU655545 FAQ655545 FKM655545 FUI655545 GEE655545 GOA655545 GXW655545 HHS655545 HRO655545 IBK655545 ILG655545 IVC655545 JEY655545 JOU655545 JYQ655545 KIM655545 KSI655545 LCE655545 LMA655545 LVW655545 MFS655545 MPO655545 MZK655545 NJG655545 NTC655545 OCY655545 OMU655545 OWQ655545 PGM655545 PQI655545 QAE655545 QKA655545 QTW655545 RDS655545 RNO655545 RXK655545 SHG655545 SRC655545 TAY655545 TKU655545 TUQ655545 UEM655545 UOI655545 UYE655545 VIA655545 VRW655545 WBS655545 WLO655545 WVK655545 C721081 IY721081 SU721081 ACQ721081 AMM721081 AWI721081 BGE721081 BQA721081 BZW721081 CJS721081 CTO721081 DDK721081 DNG721081 DXC721081 EGY721081 EQU721081 FAQ721081 FKM721081 FUI721081 GEE721081 GOA721081 GXW721081 HHS721081 HRO721081 IBK721081 ILG721081 IVC721081 JEY721081 JOU721081 JYQ721081 KIM721081 KSI721081 LCE721081 LMA721081 LVW721081 MFS721081 MPO721081 MZK721081 NJG721081 NTC721081 OCY721081 OMU721081 OWQ721081 PGM721081 PQI721081 QAE721081 QKA721081 QTW721081 RDS721081 RNO721081 RXK721081 SHG721081 SRC721081 TAY721081 TKU721081 TUQ721081 UEM721081 UOI721081 UYE721081 VIA721081 VRW721081 WBS721081 WLO721081 WVK721081 C786617 IY786617 SU786617 ACQ786617 AMM786617 AWI786617 BGE786617 BQA786617 BZW786617 CJS786617 CTO786617 DDK786617 DNG786617 DXC786617 EGY786617 EQU786617 FAQ786617 FKM786617 FUI786617 GEE786617 GOA786617 GXW786617 HHS786617 HRO786617 IBK786617 ILG786617 IVC786617 JEY786617 JOU786617 JYQ786617 KIM786617 KSI786617 LCE786617 LMA786617 LVW786617 MFS786617 MPO786617 MZK786617 NJG786617 NTC786617 OCY786617 OMU786617 OWQ786617 PGM786617 PQI786617 QAE786617 QKA786617 QTW786617 RDS786617 RNO786617 RXK786617 SHG786617 SRC786617 TAY786617 TKU786617 TUQ786617 UEM786617 UOI786617 UYE786617 VIA786617 VRW786617 WBS786617 WLO786617 WVK786617 C852153 IY852153 SU852153 ACQ852153 AMM852153 AWI852153 BGE852153 BQA852153 BZW852153 CJS852153 CTO852153 DDK852153 DNG852153 DXC852153 EGY852153 EQU852153 FAQ852153 FKM852153 FUI852153 GEE852153 GOA852153 GXW852153 HHS852153 HRO852153 IBK852153 ILG852153 IVC852153 JEY852153 JOU852153 JYQ852153 KIM852153 KSI852153 LCE852153 LMA852153 LVW852153 MFS852153 MPO852153 MZK852153 NJG852153 NTC852153 OCY852153 OMU852153 OWQ852153 PGM852153 PQI852153 QAE852153 QKA852153 QTW852153 RDS852153 RNO852153 RXK852153 SHG852153 SRC852153 TAY852153 TKU852153 TUQ852153 UEM852153 UOI852153 UYE852153 VIA852153 VRW852153 WBS852153 WLO852153 WVK852153 C917689 IY917689 SU917689 ACQ917689 AMM917689 AWI917689 BGE917689 BQA917689 BZW917689 CJS917689 CTO917689 DDK917689 DNG917689 DXC917689 EGY917689 EQU917689 FAQ917689 FKM917689 FUI917689 GEE917689 GOA917689 GXW917689 HHS917689 HRO917689 IBK917689 ILG917689 IVC917689 JEY917689 JOU917689 JYQ917689 KIM917689 KSI917689 LCE917689 LMA917689 LVW917689 MFS917689 MPO917689 MZK917689 NJG917689 NTC917689 OCY917689 OMU917689 OWQ917689 PGM917689 PQI917689 QAE917689 QKA917689 QTW917689 RDS917689 RNO917689 RXK917689 SHG917689 SRC917689 TAY917689 TKU917689 TUQ917689 UEM917689 UOI917689 UYE917689 VIA917689 VRW917689 WBS917689 WLO917689 WVK917689 C983225 IY983225 SU983225 ACQ983225 AMM983225 AWI983225 BGE983225 BQA983225 BZW983225 CJS983225 CTO983225 DDK983225 DNG983225 DXC983225 EGY983225 EQU983225 FAQ983225 FKM983225 FUI983225 GEE983225 GOA983225 GXW983225 HHS983225 HRO983225 IBK983225 ILG983225 IVC983225 JEY983225 JOU983225 JYQ983225 KIM983225 KSI983225 LCE983225 LMA983225 LVW983225 MFS983225 MPO983225 MZK983225 NJG983225 NTC983225 OCY983225 OMU983225 OWQ983225 PGM983225 PQI983225 QAE983225 QKA983225 QTW983225 RDS983225 RNO983225 RXK983225 SHG983225 SRC983225 TAY983225 TKU983225 TUQ983225 UEM983225 UOI983225 UYE983225 VIA983225 VRW983225 WBS983225 WLO983225 WVK983225">
      <formula1>"0,-29"</formula1>
    </dataValidation>
  </dataValidations>
  <hyperlinks>
    <hyperlink ref="O50" location="Menu!A6" display="Menu!A6"/>
    <hyperlink ref="O61" location="Menu!A6" display="Menu!A6"/>
    <hyperlink ref="O157" location="Menu!A6" display="Menu!A6"/>
    <hyperlink ref="O49" location="Menu!A6" display="Menu!A6"/>
    <hyperlink ref="O60" location="Menu!A6" display="Menu!A6"/>
    <hyperlink ref="O156" location="Menu!A6" display="Menu!A6"/>
    <hyperlink ref="C196" location="Esca!A1" display="Esca!A1"/>
    <hyperlink ref="C180" location="LUC!A1" display="LUC!A1"/>
  </hyperlink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W49"/>
  <sheetViews>
    <sheetView zoomScale="80" workbookViewId="0">
      <pane xSplit="3" ySplit="6" topLeftCell="D7" activePane="bottomRight" state="frozen"/>
      <selection pane="topRight" activeCell="D1" sqref="D1"/>
      <selection pane="bottomLeft" activeCell="A5" sqref="A5"/>
      <selection pane="bottomRight" activeCell="C28" sqref="C28"/>
    </sheetView>
  </sheetViews>
  <sheetFormatPr defaultColWidth="8.85546875" defaultRowHeight="12.75"/>
  <cols>
    <col min="1" max="1" width="3.140625" style="101" customWidth="1"/>
    <col min="2" max="2" width="4.7109375" style="102" customWidth="1"/>
    <col min="3" max="3" width="60.28515625" style="101" customWidth="1"/>
    <col min="4" max="4" width="16.28515625" style="101" customWidth="1"/>
    <col min="5" max="7" width="10.7109375" style="101" customWidth="1"/>
    <col min="8" max="8" width="13.7109375" style="101" customWidth="1"/>
    <col min="9" max="11" width="10.7109375" style="101" customWidth="1"/>
    <col min="12" max="12" width="13.85546875" style="101" customWidth="1"/>
    <col min="13" max="13" width="11.85546875" style="101" customWidth="1"/>
    <col min="14" max="14" width="21.5703125" style="101" customWidth="1"/>
    <col min="15" max="15" width="12" style="101" customWidth="1"/>
    <col min="16" max="16" width="14.7109375" style="101" customWidth="1"/>
    <col min="17" max="19" width="12.7109375" style="101" customWidth="1"/>
    <col min="20" max="20" width="54.42578125" style="101" customWidth="1"/>
    <col min="21" max="21" width="51.85546875" style="101" customWidth="1"/>
    <col min="22" max="22" width="9.28515625" style="101" bestFit="1" customWidth="1"/>
    <col min="23" max="24" width="11.140625" style="101" bestFit="1" customWidth="1"/>
    <col min="25" max="25" width="9.7109375" style="101" bestFit="1" customWidth="1"/>
    <col min="26" max="26" width="11.140625" style="101" bestFit="1" customWidth="1"/>
    <col min="27" max="27" width="8.85546875" style="101"/>
    <col min="28" max="28" width="11.140625" style="101" bestFit="1" customWidth="1"/>
    <col min="29" max="29" width="8.85546875" style="101"/>
    <col min="30" max="30" width="11.140625" style="101" bestFit="1" customWidth="1"/>
    <col min="31" max="16384" width="8.85546875" style="101"/>
  </cols>
  <sheetData>
    <row r="1" spans="1:23" ht="102" customHeight="1" thickBot="1"/>
    <row r="2" spans="1:23" ht="14.25" customHeight="1" thickBot="1">
      <c r="B2" s="3365" t="s">
        <v>1797</v>
      </c>
      <c r="C2" s="3366"/>
      <c r="D2" s="394"/>
    </row>
    <row r="3" spans="1:23" ht="13.5" hidden="1" thickBot="1">
      <c r="C3" s="101">
        <v>1</v>
      </c>
      <c r="D3" s="101">
        <v>2</v>
      </c>
      <c r="E3" s="101">
        <v>3</v>
      </c>
      <c r="F3" s="101">
        <v>4</v>
      </c>
      <c r="G3" s="101">
        <v>5</v>
      </c>
      <c r="H3" s="101">
        <v>6</v>
      </c>
      <c r="I3" s="101">
        <v>7</v>
      </c>
      <c r="J3" s="101">
        <v>8</v>
      </c>
      <c r="K3" s="101">
        <v>9</v>
      </c>
      <c r="L3" s="101">
        <v>10</v>
      </c>
      <c r="M3" s="101">
        <v>11</v>
      </c>
      <c r="N3" s="101">
        <v>12</v>
      </c>
      <c r="O3" s="101">
        <v>13</v>
      </c>
      <c r="P3" s="101">
        <v>14</v>
      </c>
      <c r="Q3" s="215">
        <v>15</v>
      </c>
      <c r="R3" s="215">
        <v>16</v>
      </c>
      <c r="S3" s="215">
        <v>17</v>
      </c>
    </row>
    <row r="4" spans="1:23" ht="42.75" customHeight="1">
      <c r="A4" s="233"/>
      <c r="B4" s="3367" t="s">
        <v>1798</v>
      </c>
      <c r="C4" s="3368"/>
      <c r="D4" s="598"/>
      <c r="E4" s="239"/>
      <c r="F4" s="239"/>
      <c r="G4" s="239"/>
      <c r="H4" s="239"/>
      <c r="I4" s="239"/>
      <c r="J4" s="239"/>
      <c r="K4" s="239"/>
      <c r="L4" s="240"/>
      <c r="M4" s="239"/>
      <c r="N4" s="241"/>
      <c r="O4" s="242"/>
      <c r="P4" s="243" t="s">
        <v>1814</v>
      </c>
      <c r="Q4" s="3359" t="s">
        <v>1817</v>
      </c>
      <c r="R4" s="3361" t="s">
        <v>1818</v>
      </c>
      <c r="S4" s="3362"/>
      <c r="T4" s="245"/>
      <c r="U4" s="240"/>
    </row>
    <row r="5" spans="1:23" ht="24" customHeight="1" thickBot="1">
      <c r="A5" s="233"/>
      <c r="B5" s="237"/>
      <c r="C5" s="248" t="s">
        <v>1799</v>
      </c>
      <c r="D5" s="599" t="s">
        <v>1801</v>
      </c>
      <c r="E5" s="3369" t="s">
        <v>1805</v>
      </c>
      <c r="F5" s="3369"/>
      <c r="G5" s="3369"/>
      <c r="H5" s="3369"/>
      <c r="I5" s="3369"/>
      <c r="J5" s="3369"/>
      <c r="K5" s="3369"/>
      <c r="L5" s="3370"/>
      <c r="M5" s="3371" t="s">
        <v>1811</v>
      </c>
      <c r="N5" s="3372"/>
      <c r="O5" s="214" t="s">
        <v>1812</v>
      </c>
      <c r="P5" s="232" t="s">
        <v>1815</v>
      </c>
      <c r="Q5" s="3360"/>
      <c r="R5" s="3363"/>
      <c r="S5" s="3364"/>
      <c r="T5" s="234" t="s">
        <v>1827</v>
      </c>
      <c r="U5" s="234" t="s">
        <v>1829</v>
      </c>
    </row>
    <row r="6" spans="1:23" ht="16.5" hidden="1" thickBot="1">
      <c r="A6" s="233"/>
      <c r="B6" s="238"/>
      <c r="C6" s="249" t="s">
        <v>1800</v>
      </c>
      <c r="D6" s="236"/>
      <c r="E6" s="236" t="s">
        <v>1802</v>
      </c>
      <c r="F6" s="236" t="s">
        <v>1803</v>
      </c>
      <c r="G6" s="236" t="s">
        <v>1804</v>
      </c>
      <c r="H6" s="226" t="s">
        <v>1806</v>
      </c>
      <c r="I6" s="236" t="s">
        <v>1807</v>
      </c>
      <c r="J6" s="236" t="s">
        <v>1808</v>
      </c>
      <c r="K6" s="236" t="s">
        <v>1809</v>
      </c>
      <c r="L6" s="226" t="s">
        <v>1810</v>
      </c>
      <c r="M6" s="222" t="s">
        <v>1820</v>
      </c>
      <c r="N6" s="222" t="s">
        <v>1819</v>
      </c>
      <c r="O6" s="224" t="s">
        <v>1813</v>
      </c>
      <c r="P6" s="232" t="s">
        <v>1816</v>
      </c>
      <c r="Q6" s="246" t="s">
        <v>1821</v>
      </c>
      <c r="R6" s="273" t="s">
        <v>1822</v>
      </c>
      <c r="S6" s="272" t="s">
        <v>1823</v>
      </c>
      <c r="T6" s="279"/>
      <c r="U6" s="247"/>
    </row>
    <row r="7" spans="1:23">
      <c r="A7" s="233"/>
      <c r="B7" s="991"/>
      <c r="C7" s="992"/>
      <c r="D7" s="993"/>
      <c r="E7" s="994"/>
      <c r="F7" s="995"/>
      <c r="G7" s="995"/>
      <c r="H7" s="996"/>
      <c r="I7" s="997"/>
      <c r="J7" s="995"/>
      <c r="K7" s="995"/>
      <c r="L7" s="998"/>
      <c r="M7" s="997"/>
      <c r="N7" s="997"/>
      <c r="O7" s="997"/>
      <c r="P7" s="999"/>
      <c r="Q7" s="1000"/>
      <c r="R7" s="1001"/>
      <c r="S7" s="1002"/>
      <c r="T7" s="1003"/>
      <c r="U7" s="1004"/>
      <c r="V7" s="103"/>
      <c r="W7" s="103"/>
    </row>
    <row r="8" spans="1:23">
      <c r="B8" s="3357" t="s">
        <v>1798</v>
      </c>
      <c r="C8" s="3358"/>
      <c r="D8" s="600"/>
      <c r="E8" s="970"/>
      <c r="F8" s="971"/>
      <c r="G8" s="971"/>
      <c r="H8" s="296"/>
      <c r="I8" s="295"/>
      <c r="J8" s="971"/>
      <c r="K8" s="971"/>
      <c r="L8" s="296"/>
      <c r="M8" s="295"/>
      <c r="N8" s="295"/>
      <c r="O8" s="295"/>
      <c r="P8" s="297"/>
      <c r="Q8" s="298"/>
      <c r="R8" s="299"/>
      <c r="S8" s="300"/>
      <c r="T8" s="301"/>
      <c r="U8" s="302"/>
      <c r="V8" s="103"/>
      <c r="W8" s="103"/>
    </row>
    <row r="9" spans="1:23">
      <c r="B9" s="564"/>
      <c r="C9" s="2781" t="s">
        <v>1824</v>
      </c>
      <c r="D9" s="973"/>
      <c r="E9" s="974"/>
      <c r="F9" s="975"/>
      <c r="G9" s="976"/>
      <c r="H9" s="296">
        <f>E9*'Standard values'!$D$10+F9*'Standard values'!$D$11+G9*'Standard values'!$D$12</f>
        <v>0</v>
      </c>
      <c r="I9" s="979">
        <v>87.638888888888886</v>
      </c>
      <c r="J9" s="976">
        <v>0</v>
      </c>
      <c r="K9" s="976">
        <v>0</v>
      </c>
      <c r="L9" s="296">
        <f>I9*'Standard values'!$D$10+J9*'Standard values'!$D$11+K9*'Standard values'!$D$12</f>
        <v>87.638888888888886</v>
      </c>
      <c r="M9" s="979"/>
      <c r="N9" s="1005">
        <v>1.1575</v>
      </c>
      <c r="O9" s="1006">
        <v>832</v>
      </c>
      <c r="P9" s="1007">
        <v>43.1</v>
      </c>
      <c r="Q9" s="1008"/>
      <c r="R9" s="1009"/>
      <c r="S9" s="1010"/>
      <c r="T9" s="1011" t="s">
        <v>1477</v>
      </c>
      <c r="U9" s="1012"/>
      <c r="V9" s="103"/>
      <c r="W9" s="103"/>
    </row>
    <row r="10" spans="1:23">
      <c r="B10" s="564"/>
      <c r="C10" s="2781" t="s">
        <v>1825</v>
      </c>
      <c r="D10" s="973"/>
      <c r="E10" s="974"/>
      <c r="F10" s="975"/>
      <c r="G10" s="976"/>
      <c r="H10" s="296">
        <f>E10*'Standard values'!$D$10+F10*'Standard values'!$D$11+G10*'Standard values'!$D$12</f>
        <v>0</v>
      </c>
      <c r="I10" s="979">
        <v>92.797444444444452</v>
      </c>
      <c r="J10" s="976">
        <v>0.29002777777777777</v>
      </c>
      <c r="K10" s="976">
        <v>3.3333333333333332E-4</v>
      </c>
      <c r="L10" s="296">
        <f>I10*'Standard values'!$D$10+J10*'Standard values'!$D$11+K10*'Standard values'!$D$12</f>
        <v>100.14747222222223</v>
      </c>
      <c r="M10" s="979"/>
      <c r="N10" s="1005">
        <v>1.6594</v>
      </c>
      <c r="O10" s="1006">
        <v>793</v>
      </c>
      <c r="P10" s="1007">
        <v>19.899999999999999</v>
      </c>
      <c r="Q10" s="1008"/>
      <c r="R10" s="1009"/>
      <c r="S10" s="1010"/>
      <c r="T10" s="1011" t="s">
        <v>1478</v>
      </c>
      <c r="U10" s="1012"/>
      <c r="V10" s="103"/>
      <c r="W10" s="103"/>
    </row>
    <row r="11" spans="1:23">
      <c r="B11" s="564"/>
      <c r="C11" s="2782" t="s">
        <v>1826</v>
      </c>
      <c r="D11" s="978"/>
      <c r="E11" s="974">
        <v>2827.0048999999999</v>
      </c>
      <c r="F11" s="975">
        <v>8.6788000000000007</v>
      </c>
      <c r="G11" s="976">
        <v>9.6417999999999999</v>
      </c>
      <c r="H11" s="296">
        <f>E11*'Standard values'!$D$10+F11*'Standard values'!$D$11+G11*'Standard values'!$D$12</f>
        <v>5917.2312999999995</v>
      </c>
      <c r="I11" s="979"/>
      <c r="J11" s="976"/>
      <c r="K11" s="976"/>
      <c r="L11" s="296">
        <f>I11*'Standard values'!$D$10+J11*'Standard values'!$D$11+K11*'Standard values'!$D$12</f>
        <v>0</v>
      </c>
      <c r="M11" s="979">
        <v>48.990600000000001</v>
      </c>
      <c r="N11" s="1005"/>
      <c r="O11" s="1006"/>
      <c r="P11" s="1007"/>
      <c r="Q11" s="1008"/>
      <c r="R11" s="1009"/>
      <c r="S11" s="1010"/>
      <c r="T11" s="1011"/>
      <c r="U11" s="1012"/>
      <c r="V11" s="103"/>
      <c r="W11" s="103"/>
    </row>
    <row r="12" spans="1:23">
      <c r="B12" s="564"/>
      <c r="C12" s="2795"/>
      <c r="D12" s="2796"/>
      <c r="E12" s="2797"/>
      <c r="F12" s="2798"/>
      <c r="G12" s="2798"/>
      <c r="H12" s="2799">
        <f>E12*'Standard values'!$D$10+F12*'Standard values'!$D$11+G12*'Standard values'!$D$12</f>
        <v>0</v>
      </c>
      <c r="I12" s="979"/>
      <c r="J12" s="976"/>
      <c r="K12" s="976"/>
      <c r="L12" s="296">
        <f>I12*'Standard values'!$D$10+J12*'Standard values'!$D$11+K12*'Standard values'!$D$12</f>
        <v>0</v>
      </c>
      <c r="M12" s="979"/>
      <c r="N12" s="1005"/>
      <c r="O12" s="1006"/>
      <c r="P12" s="1007"/>
      <c r="Q12" s="1008"/>
      <c r="R12" s="1009"/>
      <c r="S12" s="1010"/>
      <c r="T12" s="2783" t="s">
        <v>1828</v>
      </c>
      <c r="U12" s="2784" t="s">
        <v>1830</v>
      </c>
      <c r="V12" s="103"/>
      <c r="W12" s="103"/>
    </row>
    <row r="13" spans="1:23">
      <c r="B13" s="564"/>
      <c r="C13" s="977"/>
      <c r="D13" s="978"/>
      <c r="E13" s="974"/>
      <c r="F13" s="975"/>
      <c r="G13" s="976"/>
      <c r="H13" s="296">
        <f>E13*'Standard values'!$D$10+F13*'Standard values'!$D$11+G13*'Standard values'!$D$12</f>
        <v>0</v>
      </c>
      <c r="I13" s="979"/>
      <c r="J13" s="976"/>
      <c r="K13" s="976"/>
      <c r="L13" s="296">
        <f>I13*'Standard values'!$D$10+J13*'Standard values'!$D$11+K13*'Standard values'!$D$12</f>
        <v>0</v>
      </c>
      <c r="M13" s="979"/>
      <c r="N13" s="1005"/>
      <c r="O13" s="1006"/>
      <c r="P13" s="1007"/>
      <c r="Q13" s="1008"/>
      <c r="R13" s="1009"/>
      <c r="S13" s="1010"/>
      <c r="T13" s="1011"/>
      <c r="U13" s="1012"/>
      <c r="V13" s="103"/>
      <c r="W13" s="103"/>
    </row>
    <row r="14" spans="1:23">
      <c r="B14" s="564"/>
      <c r="C14" s="977"/>
      <c r="D14" s="978"/>
      <c r="E14" s="974"/>
      <c r="F14" s="975"/>
      <c r="G14" s="976"/>
      <c r="H14" s="296">
        <f>E14*'Standard values'!$D$10+F14*'Standard values'!$D$11+G14*'Standard values'!$D$12</f>
        <v>0</v>
      </c>
      <c r="I14" s="979"/>
      <c r="J14" s="976"/>
      <c r="K14" s="976"/>
      <c r="L14" s="296">
        <f>I14*'Standard values'!$D$10+J14*'Standard values'!$D$11+K14*'Standard values'!$D$12</f>
        <v>0</v>
      </c>
      <c r="M14" s="979"/>
      <c r="N14" s="1005"/>
      <c r="O14" s="1006"/>
      <c r="P14" s="1007"/>
      <c r="Q14" s="1008"/>
      <c r="R14" s="1009"/>
      <c r="S14" s="1010"/>
      <c r="T14" s="1011"/>
      <c r="U14" s="1012"/>
      <c r="V14" s="103"/>
      <c r="W14" s="103"/>
    </row>
    <row r="15" spans="1:23">
      <c r="B15" s="564"/>
      <c r="C15" s="977"/>
      <c r="D15" s="978"/>
      <c r="E15" s="974"/>
      <c r="F15" s="975"/>
      <c r="G15" s="976"/>
      <c r="H15" s="296">
        <f>E15*'Standard values'!$D$10+F15*'Standard values'!$D$11+G15*'Standard values'!$D$12</f>
        <v>0</v>
      </c>
      <c r="I15" s="979"/>
      <c r="J15" s="976"/>
      <c r="K15" s="976"/>
      <c r="L15" s="296">
        <f>I15*'Standard values'!$D$10+J15*'Standard values'!$D$11+K15*'Standard values'!$D$12</f>
        <v>0</v>
      </c>
      <c r="M15" s="979"/>
      <c r="N15" s="1005"/>
      <c r="O15" s="1006"/>
      <c r="P15" s="1007"/>
      <c r="Q15" s="1008"/>
      <c r="R15" s="1009"/>
      <c r="S15" s="1010"/>
      <c r="T15" s="1011"/>
      <c r="U15" s="1012"/>
      <c r="V15" s="103"/>
      <c r="W15" s="103"/>
    </row>
    <row r="16" spans="1:23">
      <c r="B16" s="564"/>
      <c r="C16" s="977"/>
      <c r="D16" s="978"/>
      <c r="E16" s="974"/>
      <c r="F16" s="975"/>
      <c r="G16" s="976"/>
      <c r="H16" s="296">
        <f>E16*'Standard values'!$D$10+F16*'Standard values'!$D$11+G16*'Standard values'!$D$12</f>
        <v>0</v>
      </c>
      <c r="I16" s="979"/>
      <c r="J16" s="976"/>
      <c r="K16" s="976"/>
      <c r="L16" s="296">
        <f>I16*'Standard values'!$D$10+J16*'Standard values'!$D$11+K16*'Standard values'!$D$12</f>
        <v>0</v>
      </c>
      <c r="M16" s="979"/>
      <c r="N16" s="1005"/>
      <c r="O16" s="1006"/>
      <c r="P16" s="1007"/>
      <c r="Q16" s="1008"/>
      <c r="R16" s="1009"/>
      <c r="S16" s="1010"/>
      <c r="T16" s="1011"/>
      <c r="U16" s="1012"/>
      <c r="V16" s="103"/>
      <c r="W16" s="103"/>
    </row>
    <row r="17" spans="2:23">
      <c r="B17" s="564"/>
      <c r="C17" s="977"/>
      <c r="D17" s="978"/>
      <c r="E17" s="974"/>
      <c r="F17" s="975"/>
      <c r="G17" s="976"/>
      <c r="H17" s="296">
        <f>E17*'Standard values'!$D$10+F17*'Standard values'!$D$11+G17*'Standard values'!$D$12</f>
        <v>0</v>
      </c>
      <c r="I17" s="979"/>
      <c r="J17" s="976"/>
      <c r="K17" s="976"/>
      <c r="L17" s="296">
        <f>I17*'Standard values'!$D$10+J17*'Standard values'!$D$11+K17*'Standard values'!$D$12</f>
        <v>0</v>
      </c>
      <c r="M17" s="979"/>
      <c r="N17" s="1005"/>
      <c r="O17" s="1006"/>
      <c r="P17" s="1007"/>
      <c r="Q17" s="1008"/>
      <c r="R17" s="1009"/>
      <c r="S17" s="1010"/>
      <c r="T17" s="1011"/>
      <c r="U17" s="1012"/>
      <c r="V17" s="103"/>
      <c r="W17" s="103"/>
    </row>
    <row r="18" spans="2:23">
      <c r="B18" s="564"/>
      <c r="C18" s="977"/>
      <c r="D18" s="978"/>
      <c r="E18" s="974"/>
      <c r="F18" s="975"/>
      <c r="G18" s="976"/>
      <c r="H18" s="296">
        <f>E18*'Standard values'!$D$10+F18*'Standard values'!$D$11+G18*'Standard values'!$D$12</f>
        <v>0</v>
      </c>
      <c r="I18" s="979"/>
      <c r="J18" s="976"/>
      <c r="K18" s="976"/>
      <c r="L18" s="296">
        <f>I18*'Standard values'!$D$10+J18*'Standard values'!$D$11+K18*'Standard values'!$D$12</f>
        <v>0</v>
      </c>
      <c r="M18" s="979"/>
      <c r="N18" s="1005"/>
      <c r="O18" s="1006"/>
      <c r="P18" s="1007"/>
      <c r="Q18" s="1008"/>
      <c r="R18" s="1009"/>
      <c r="S18" s="1010"/>
      <c r="T18" s="1011"/>
      <c r="U18" s="1012"/>
      <c r="V18" s="103"/>
      <c r="W18" s="103"/>
    </row>
    <row r="19" spans="2:23">
      <c r="B19" s="564"/>
      <c r="C19" s="977"/>
      <c r="D19" s="978"/>
      <c r="E19" s="974"/>
      <c r="F19" s="975"/>
      <c r="G19" s="976"/>
      <c r="H19" s="296">
        <f>E19*'Standard values'!$D$10+F19*'Standard values'!$D$11+G19*'Standard values'!$D$12</f>
        <v>0</v>
      </c>
      <c r="I19" s="979"/>
      <c r="J19" s="976"/>
      <c r="K19" s="976"/>
      <c r="L19" s="296">
        <f>I19*'Standard values'!$D$10+J19*'Standard values'!$D$11+K19*'Standard values'!$D$12</f>
        <v>0</v>
      </c>
      <c r="M19" s="979"/>
      <c r="N19" s="1005"/>
      <c r="O19" s="1006"/>
      <c r="P19" s="1007"/>
      <c r="Q19" s="1008"/>
      <c r="R19" s="1009"/>
      <c r="S19" s="1010"/>
      <c r="T19" s="1011"/>
      <c r="U19" s="1012"/>
      <c r="V19" s="103"/>
      <c r="W19" s="103"/>
    </row>
    <row r="20" spans="2:23">
      <c r="B20" s="564"/>
      <c r="C20" s="977"/>
      <c r="D20" s="978"/>
      <c r="E20" s="974"/>
      <c r="F20" s="975"/>
      <c r="G20" s="976"/>
      <c r="H20" s="296">
        <f>E20*'Standard values'!$D$10+F20*'Standard values'!$D$11+G20*'Standard values'!$D$12</f>
        <v>0</v>
      </c>
      <c r="I20" s="979"/>
      <c r="J20" s="976"/>
      <c r="K20" s="976"/>
      <c r="L20" s="296">
        <f>I20*'Standard values'!$D$10+J20*'Standard values'!$D$11+K20*'Standard values'!$D$12</f>
        <v>0</v>
      </c>
      <c r="M20" s="979"/>
      <c r="N20" s="1005"/>
      <c r="O20" s="1006"/>
      <c r="P20" s="1007"/>
      <c r="Q20" s="1008"/>
      <c r="R20" s="1009"/>
      <c r="S20" s="1010"/>
      <c r="T20" s="1011"/>
      <c r="U20" s="1012"/>
      <c r="V20" s="103"/>
      <c r="W20" s="103"/>
    </row>
    <row r="21" spans="2:23">
      <c r="B21" s="564"/>
      <c r="C21" s="977"/>
      <c r="D21" s="978"/>
      <c r="E21" s="974"/>
      <c r="F21" s="975"/>
      <c r="G21" s="976"/>
      <c r="H21" s="296">
        <f>E21*'Standard values'!$D$10+F21*'Standard values'!$D$11+G21*'Standard values'!$D$12</f>
        <v>0</v>
      </c>
      <c r="I21" s="979"/>
      <c r="J21" s="976"/>
      <c r="K21" s="976"/>
      <c r="L21" s="296">
        <f>I21*'Standard values'!$D$10+J21*'Standard values'!$D$11+K21*'Standard values'!$D$12</f>
        <v>0</v>
      </c>
      <c r="M21" s="979"/>
      <c r="N21" s="1005"/>
      <c r="O21" s="1006"/>
      <c r="P21" s="1007"/>
      <c r="Q21" s="1008"/>
      <c r="R21" s="1009"/>
      <c r="S21" s="1010"/>
      <c r="T21" s="1011"/>
      <c r="U21" s="1012"/>
      <c r="V21" s="103"/>
      <c r="W21" s="103"/>
    </row>
    <row r="22" spans="2:23">
      <c r="B22" s="564"/>
      <c r="C22" s="977"/>
      <c r="D22" s="978"/>
      <c r="E22" s="974"/>
      <c r="F22" s="975"/>
      <c r="G22" s="976"/>
      <c r="H22" s="296">
        <f>E22*'Standard values'!$D$10+F22*'Standard values'!$D$11+G22*'Standard values'!$D$12</f>
        <v>0</v>
      </c>
      <c r="I22" s="979"/>
      <c r="J22" s="976"/>
      <c r="K22" s="976"/>
      <c r="L22" s="296">
        <f>I22*'Standard values'!$D$10+J22*'Standard values'!$D$11+K22*'Standard values'!$D$12</f>
        <v>0</v>
      </c>
      <c r="M22" s="979"/>
      <c r="N22" s="1005"/>
      <c r="O22" s="1006"/>
      <c r="P22" s="1007"/>
      <c r="Q22" s="1008"/>
      <c r="R22" s="1009"/>
      <c r="S22" s="1010"/>
      <c r="T22" s="1011"/>
      <c r="U22" s="1012"/>
      <c r="V22" s="103"/>
      <c r="W22" s="103"/>
    </row>
    <row r="23" spans="2:23">
      <c r="B23" s="564"/>
      <c r="C23" s="977"/>
      <c r="D23" s="978"/>
      <c r="E23" s="974"/>
      <c r="F23" s="975"/>
      <c r="G23" s="976"/>
      <c r="H23" s="296">
        <f>E23*'Standard values'!$D$10+F23*'Standard values'!$D$11+G23*'Standard values'!$D$12</f>
        <v>0</v>
      </c>
      <c r="I23" s="979"/>
      <c r="J23" s="976"/>
      <c r="K23" s="976"/>
      <c r="L23" s="296">
        <f>I23*'Standard values'!$D$10+J23*'Standard values'!$D$11+K23*'Standard values'!$D$12</f>
        <v>0</v>
      </c>
      <c r="M23" s="979"/>
      <c r="N23" s="1005"/>
      <c r="O23" s="1006"/>
      <c r="P23" s="1007"/>
      <c r="Q23" s="1008"/>
      <c r="R23" s="1009"/>
      <c r="S23" s="1010"/>
      <c r="T23" s="1011"/>
      <c r="U23" s="1012"/>
      <c r="V23" s="103"/>
      <c r="W23" s="103"/>
    </row>
    <row r="24" spans="2:23">
      <c r="B24" s="564"/>
      <c r="C24" s="977"/>
      <c r="D24" s="978"/>
      <c r="E24" s="974"/>
      <c r="F24" s="975"/>
      <c r="G24" s="976"/>
      <c r="H24" s="296">
        <f>E24*'Standard values'!$D$10+F24*'Standard values'!$D$11+G24*'Standard values'!$D$12</f>
        <v>0</v>
      </c>
      <c r="I24" s="979"/>
      <c r="J24" s="976"/>
      <c r="K24" s="976"/>
      <c r="L24" s="296">
        <f>I24*'Standard values'!$D$10+J24*'Standard values'!$D$11+K24*'Standard values'!$D$12</f>
        <v>0</v>
      </c>
      <c r="M24" s="979"/>
      <c r="N24" s="1005"/>
      <c r="O24" s="1006"/>
      <c r="P24" s="1007"/>
      <c r="Q24" s="1008"/>
      <c r="R24" s="1009"/>
      <c r="S24" s="1010"/>
      <c r="T24" s="1011"/>
      <c r="U24" s="1012"/>
      <c r="V24" s="103"/>
      <c r="W24" s="103"/>
    </row>
    <row r="25" spans="2:23">
      <c r="B25" s="564"/>
      <c r="C25" s="977"/>
      <c r="D25" s="978"/>
      <c r="E25" s="974"/>
      <c r="F25" s="975"/>
      <c r="G25" s="976"/>
      <c r="H25" s="296">
        <f>E25*'Standard values'!$D$10+F25*'Standard values'!$D$11+G25*'Standard values'!$D$12</f>
        <v>0</v>
      </c>
      <c r="I25" s="979"/>
      <c r="J25" s="976"/>
      <c r="K25" s="976"/>
      <c r="L25" s="296">
        <f>I25*'Standard values'!$D$10+J25*'Standard values'!$D$11+K25*'Standard values'!$D$12</f>
        <v>0</v>
      </c>
      <c r="M25" s="979"/>
      <c r="N25" s="1005"/>
      <c r="O25" s="1006"/>
      <c r="P25" s="1007"/>
      <c r="Q25" s="1008"/>
      <c r="R25" s="1009"/>
      <c r="S25" s="1010"/>
      <c r="T25" s="1011"/>
      <c r="U25" s="1012"/>
      <c r="V25" s="103"/>
      <c r="W25" s="103"/>
    </row>
    <row r="26" spans="2:23">
      <c r="B26" s="564"/>
      <c r="C26" s="977"/>
      <c r="D26" s="978"/>
      <c r="E26" s="974"/>
      <c r="F26" s="975"/>
      <c r="G26" s="976"/>
      <c r="H26" s="296">
        <f>E26*'Standard values'!$D$10+F26*'Standard values'!$D$11+G26*'Standard values'!$D$12</f>
        <v>0</v>
      </c>
      <c r="I26" s="979"/>
      <c r="J26" s="976"/>
      <c r="K26" s="976"/>
      <c r="L26" s="296">
        <f>I26*'Standard values'!$D$10+J26*'Standard values'!$D$11+K26*'Standard values'!$D$12</f>
        <v>0</v>
      </c>
      <c r="M26" s="979"/>
      <c r="N26" s="1005"/>
      <c r="O26" s="1006"/>
      <c r="P26" s="1007"/>
      <c r="Q26" s="1008"/>
      <c r="R26" s="1009"/>
      <c r="S26" s="1010"/>
      <c r="T26" s="1011"/>
      <c r="U26" s="1012"/>
      <c r="V26" s="103"/>
      <c r="W26" s="103"/>
    </row>
    <row r="27" spans="2:23">
      <c r="B27" s="564"/>
      <c r="C27" s="977"/>
      <c r="D27" s="978"/>
      <c r="E27" s="974"/>
      <c r="F27" s="975"/>
      <c r="G27" s="976"/>
      <c r="H27" s="296">
        <f>E27*'Standard values'!$D$10+F27*'Standard values'!$D$11+G27*'Standard values'!$D$12</f>
        <v>0</v>
      </c>
      <c r="I27" s="979"/>
      <c r="J27" s="976"/>
      <c r="K27" s="976"/>
      <c r="L27" s="296">
        <f>I27*'Standard values'!$D$10+J27*'Standard values'!$D$11+K27*'Standard values'!$D$12</f>
        <v>0</v>
      </c>
      <c r="M27" s="979"/>
      <c r="N27" s="1005"/>
      <c r="O27" s="1006"/>
      <c r="P27" s="1007"/>
      <c r="Q27" s="1008"/>
      <c r="R27" s="1009"/>
      <c r="S27" s="1010"/>
      <c r="T27" s="1011"/>
      <c r="U27" s="1012"/>
      <c r="V27" s="103"/>
      <c r="W27" s="103"/>
    </row>
    <row r="28" spans="2:23">
      <c r="B28" s="564"/>
      <c r="C28" s="977"/>
      <c r="D28" s="978"/>
      <c r="E28" s="974"/>
      <c r="F28" s="975"/>
      <c r="G28" s="976"/>
      <c r="H28" s="296">
        <f>E28*'Standard values'!$D$10+F28*'Standard values'!$D$11+G28*'Standard values'!$D$12</f>
        <v>0</v>
      </c>
      <c r="I28" s="979"/>
      <c r="J28" s="976"/>
      <c r="K28" s="976"/>
      <c r="L28" s="296">
        <f>I28*'Standard values'!$D$10+J28*'Standard values'!$D$11+K28*'Standard values'!$D$12</f>
        <v>0</v>
      </c>
      <c r="M28" s="979"/>
      <c r="N28" s="1005"/>
      <c r="O28" s="1006"/>
      <c r="P28" s="1007"/>
      <c r="Q28" s="1008"/>
      <c r="R28" s="1009"/>
      <c r="S28" s="1010"/>
      <c r="T28" s="1011"/>
      <c r="U28" s="1012"/>
      <c r="V28" s="103"/>
      <c r="W28" s="103"/>
    </row>
    <row r="29" spans="2:23">
      <c r="B29" s="564"/>
      <c r="C29" s="977"/>
      <c r="D29" s="978"/>
      <c r="E29" s="974"/>
      <c r="F29" s="975"/>
      <c r="G29" s="976"/>
      <c r="H29" s="296">
        <f>E29*'Standard values'!$D$10+F29*'Standard values'!$D$11+G29*'Standard values'!$D$12</f>
        <v>0</v>
      </c>
      <c r="I29" s="979"/>
      <c r="J29" s="976"/>
      <c r="K29" s="976"/>
      <c r="L29" s="296">
        <f>I29*'Standard values'!$D$10+J29*'Standard values'!$D$11+K29*'Standard values'!$D$12</f>
        <v>0</v>
      </c>
      <c r="M29" s="979"/>
      <c r="N29" s="1005"/>
      <c r="O29" s="1006"/>
      <c r="P29" s="1007"/>
      <c r="Q29" s="1008"/>
      <c r="R29" s="1009"/>
      <c r="S29" s="1010"/>
      <c r="T29" s="1011"/>
      <c r="U29" s="1012"/>
      <c r="V29" s="103"/>
      <c r="W29" s="103"/>
    </row>
    <row r="30" spans="2:23">
      <c r="B30" s="564"/>
      <c r="C30" s="977"/>
      <c r="D30" s="978"/>
      <c r="E30" s="974"/>
      <c r="F30" s="975"/>
      <c r="G30" s="976"/>
      <c r="H30" s="296">
        <f>E30*'Standard values'!$D$10+F30*'Standard values'!$D$11+G30*'Standard values'!$D$12</f>
        <v>0</v>
      </c>
      <c r="I30" s="979"/>
      <c r="J30" s="976"/>
      <c r="K30" s="976"/>
      <c r="L30" s="296">
        <f>I30*'Standard values'!$D$10+J30*'Standard values'!$D$11+K30*'Standard values'!$D$12</f>
        <v>0</v>
      </c>
      <c r="M30" s="979"/>
      <c r="N30" s="1005"/>
      <c r="O30" s="1006"/>
      <c r="P30" s="1007"/>
      <c r="Q30" s="1008"/>
      <c r="R30" s="1009"/>
      <c r="S30" s="1010"/>
      <c r="T30" s="1011"/>
      <c r="U30" s="1012"/>
      <c r="V30" s="103"/>
      <c r="W30" s="103"/>
    </row>
    <row r="31" spans="2:23">
      <c r="B31" s="564"/>
      <c r="C31" s="977"/>
      <c r="D31" s="978"/>
      <c r="E31" s="974"/>
      <c r="F31" s="975"/>
      <c r="G31" s="976"/>
      <c r="H31" s="296">
        <f>E31*'Standard values'!$D$10+F31*'Standard values'!$D$11+G31*'Standard values'!$D$12</f>
        <v>0</v>
      </c>
      <c r="I31" s="979"/>
      <c r="J31" s="976"/>
      <c r="K31" s="976"/>
      <c r="L31" s="296">
        <f>I31*'Standard values'!$D$10+J31*'Standard values'!$D$11+K31*'Standard values'!$D$12</f>
        <v>0</v>
      </c>
      <c r="M31" s="979"/>
      <c r="N31" s="1005"/>
      <c r="O31" s="1006"/>
      <c r="P31" s="1007"/>
      <c r="Q31" s="1008"/>
      <c r="R31" s="1009"/>
      <c r="S31" s="1010"/>
      <c r="T31" s="1011"/>
      <c r="U31" s="1012"/>
      <c r="V31" s="103"/>
      <c r="W31" s="103"/>
    </row>
    <row r="32" spans="2:23">
      <c r="B32" s="564"/>
      <c r="C32" s="977"/>
      <c r="D32" s="978"/>
      <c r="E32" s="974"/>
      <c r="F32" s="975"/>
      <c r="G32" s="976"/>
      <c r="H32" s="296">
        <f>E32*'Standard values'!$D$10+F32*'Standard values'!$D$11+G32*'Standard values'!$D$12</f>
        <v>0</v>
      </c>
      <c r="I32" s="979"/>
      <c r="J32" s="976"/>
      <c r="K32" s="976"/>
      <c r="L32" s="296">
        <f>I32*'Standard values'!$D$10+J32*'Standard values'!$D$11+K32*'Standard values'!$D$12</f>
        <v>0</v>
      </c>
      <c r="M32" s="979"/>
      <c r="N32" s="1005"/>
      <c r="O32" s="1006"/>
      <c r="P32" s="1007"/>
      <c r="Q32" s="1008"/>
      <c r="R32" s="1009"/>
      <c r="S32" s="1010"/>
      <c r="T32" s="1011"/>
      <c r="U32" s="1012"/>
      <c r="V32" s="103"/>
      <c r="W32" s="103"/>
    </row>
    <row r="33" spans="2:23">
      <c r="B33" s="564"/>
      <c r="C33" s="977"/>
      <c r="D33" s="978"/>
      <c r="E33" s="974"/>
      <c r="F33" s="975"/>
      <c r="G33" s="976"/>
      <c r="H33" s="296">
        <f>E33*'Standard values'!$D$10+F33*'Standard values'!$D$11+G33*'Standard values'!$D$12</f>
        <v>0</v>
      </c>
      <c r="I33" s="979"/>
      <c r="J33" s="976"/>
      <c r="K33" s="976"/>
      <c r="L33" s="296">
        <f>I33*'Standard values'!$D$10+J33*'Standard values'!$D$11+K33*'Standard values'!$D$12</f>
        <v>0</v>
      </c>
      <c r="M33" s="979"/>
      <c r="N33" s="1005"/>
      <c r="O33" s="1006"/>
      <c r="P33" s="1007"/>
      <c r="Q33" s="1008"/>
      <c r="R33" s="1009"/>
      <c r="S33" s="1010"/>
      <c r="T33" s="1011"/>
      <c r="U33" s="1012"/>
      <c r="V33" s="103"/>
      <c r="W33" s="103"/>
    </row>
    <row r="34" spans="2:23">
      <c r="B34" s="564"/>
      <c r="C34" s="977"/>
      <c r="D34" s="978"/>
      <c r="E34" s="974"/>
      <c r="F34" s="975"/>
      <c r="G34" s="976"/>
      <c r="H34" s="296">
        <f>E34*'Standard values'!$D$10+F34*'Standard values'!$D$11+G34*'Standard values'!$D$12</f>
        <v>0</v>
      </c>
      <c r="I34" s="979"/>
      <c r="J34" s="976"/>
      <c r="K34" s="976"/>
      <c r="L34" s="296">
        <f>I34*'Standard values'!$D$10+J34*'Standard values'!$D$11+K34*'Standard values'!$D$12</f>
        <v>0</v>
      </c>
      <c r="M34" s="979"/>
      <c r="N34" s="1005"/>
      <c r="O34" s="1006"/>
      <c r="P34" s="1007"/>
      <c r="Q34" s="1008"/>
      <c r="R34" s="1009"/>
      <c r="S34" s="1010"/>
      <c r="T34" s="1011"/>
      <c r="U34" s="1012"/>
      <c r="V34" s="103"/>
      <c r="W34" s="103"/>
    </row>
    <row r="35" spans="2:23">
      <c r="B35" s="564"/>
      <c r="C35" s="977"/>
      <c r="D35" s="978"/>
      <c r="E35" s="974"/>
      <c r="F35" s="975"/>
      <c r="G35" s="976"/>
      <c r="H35" s="296">
        <f>E35*'Standard values'!$D$10+F35*'Standard values'!$D$11+G35*'Standard values'!$D$12</f>
        <v>0</v>
      </c>
      <c r="I35" s="979"/>
      <c r="J35" s="976"/>
      <c r="K35" s="976"/>
      <c r="L35" s="296">
        <f>I35*'Standard values'!$D$10+J35*'Standard values'!$D$11+K35*'Standard values'!$D$12</f>
        <v>0</v>
      </c>
      <c r="M35" s="979"/>
      <c r="N35" s="1005"/>
      <c r="O35" s="1006"/>
      <c r="P35" s="1007"/>
      <c r="Q35" s="1008"/>
      <c r="R35" s="1009"/>
      <c r="S35" s="1010"/>
      <c r="T35" s="1011"/>
      <c r="U35" s="1012"/>
      <c r="V35" s="103"/>
      <c r="W35" s="103"/>
    </row>
    <row r="36" spans="2:23">
      <c r="B36" s="564"/>
      <c r="C36" s="977"/>
      <c r="D36" s="978"/>
      <c r="E36" s="974"/>
      <c r="F36" s="975"/>
      <c r="G36" s="976"/>
      <c r="H36" s="296">
        <f>E36*'Standard values'!$D$10+F36*'Standard values'!$D$11+G36*'Standard values'!$D$12</f>
        <v>0</v>
      </c>
      <c r="I36" s="979"/>
      <c r="J36" s="976"/>
      <c r="K36" s="976"/>
      <c r="L36" s="296">
        <f>I36*'Standard values'!$D$10+J36*'Standard values'!$D$11+K36*'Standard values'!$D$12</f>
        <v>0</v>
      </c>
      <c r="M36" s="979"/>
      <c r="N36" s="1005"/>
      <c r="O36" s="1006"/>
      <c r="P36" s="1007"/>
      <c r="Q36" s="1008"/>
      <c r="R36" s="1009"/>
      <c r="S36" s="1010"/>
      <c r="T36" s="1011"/>
      <c r="U36" s="1012"/>
      <c r="V36" s="103"/>
      <c r="W36" s="103"/>
    </row>
    <row r="37" spans="2:23">
      <c r="B37" s="564"/>
      <c r="C37" s="977"/>
      <c r="D37" s="978"/>
      <c r="E37" s="974"/>
      <c r="F37" s="975"/>
      <c r="G37" s="976"/>
      <c r="H37" s="296">
        <f>E37*'Standard values'!$D$10+F37*'Standard values'!$D$11+G37*'Standard values'!$D$12</f>
        <v>0</v>
      </c>
      <c r="I37" s="979"/>
      <c r="J37" s="976"/>
      <c r="K37" s="976"/>
      <c r="L37" s="296">
        <f>I37*'Standard values'!$D$10+J37*'Standard values'!$D$11+K37*'Standard values'!$D$12</f>
        <v>0</v>
      </c>
      <c r="M37" s="979"/>
      <c r="N37" s="1005"/>
      <c r="O37" s="1006"/>
      <c r="P37" s="1007"/>
      <c r="Q37" s="1008"/>
      <c r="R37" s="1009"/>
      <c r="S37" s="1010"/>
      <c r="T37" s="1011"/>
      <c r="U37" s="1012"/>
      <c r="V37" s="103"/>
      <c r="W37" s="103"/>
    </row>
    <row r="38" spans="2:23">
      <c r="B38" s="564"/>
      <c r="C38" s="977"/>
      <c r="D38" s="978"/>
      <c r="E38" s="974"/>
      <c r="F38" s="975"/>
      <c r="G38" s="976"/>
      <c r="H38" s="296">
        <f>E38*'Standard values'!$D$10+F38*'Standard values'!$D$11+G38*'Standard values'!$D$12</f>
        <v>0</v>
      </c>
      <c r="I38" s="979"/>
      <c r="J38" s="976"/>
      <c r="K38" s="976"/>
      <c r="L38" s="296">
        <f>I38*'Standard values'!$D$10+J38*'Standard values'!$D$11+K38*'Standard values'!$D$12</f>
        <v>0</v>
      </c>
      <c r="M38" s="979"/>
      <c r="N38" s="1005"/>
      <c r="O38" s="1006"/>
      <c r="P38" s="1007"/>
      <c r="Q38" s="1008"/>
      <c r="R38" s="1009"/>
      <c r="S38" s="1010"/>
      <c r="T38" s="1011"/>
      <c r="U38" s="1012"/>
      <c r="V38" s="103"/>
      <c r="W38" s="103"/>
    </row>
    <row r="39" spans="2:23">
      <c r="B39" s="564"/>
      <c r="C39" s="977"/>
      <c r="D39" s="978"/>
      <c r="E39" s="974"/>
      <c r="F39" s="975"/>
      <c r="G39" s="976"/>
      <c r="H39" s="296">
        <f>E39*'Standard values'!$D$10+F39*'Standard values'!$D$11+G39*'Standard values'!$D$12</f>
        <v>0</v>
      </c>
      <c r="I39" s="979"/>
      <c r="J39" s="976"/>
      <c r="K39" s="976"/>
      <c r="L39" s="296">
        <f>I39*'Standard values'!$D$10+J39*'Standard values'!$D$11+K39*'Standard values'!$D$12</f>
        <v>0</v>
      </c>
      <c r="M39" s="979"/>
      <c r="N39" s="1005"/>
      <c r="O39" s="1006"/>
      <c r="P39" s="1007"/>
      <c r="Q39" s="1008"/>
      <c r="R39" s="1009"/>
      <c r="S39" s="1010"/>
      <c r="T39" s="1011"/>
      <c r="U39" s="1012"/>
      <c r="V39" s="103"/>
      <c r="W39" s="103"/>
    </row>
    <row r="40" spans="2:23">
      <c r="B40" s="564"/>
      <c r="C40" s="977"/>
      <c r="D40" s="978"/>
      <c r="E40" s="974"/>
      <c r="F40" s="975"/>
      <c r="G40" s="976"/>
      <c r="H40" s="296">
        <f>E40*'Standard values'!$D$10+F40*'Standard values'!$D$11+G40*'Standard values'!$D$12</f>
        <v>0</v>
      </c>
      <c r="I40" s="979"/>
      <c r="J40" s="976"/>
      <c r="K40" s="976"/>
      <c r="L40" s="296">
        <f>I40*'Standard values'!$D$10+J40*'Standard values'!$D$11+K40*'Standard values'!$D$12</f>
        <v>0</v>
      </c>
      <c r="M40" s="979"/>
      <c r="N40" s="1005"/>
      <c r="O40" s="1006"/>
      <c r="P40" s="1007"/>
      <c r="Q40" s="1008"/>
      <c r="R40" s="1009"/>
      <c r="S40" s="1010"/>
      <c r="T40" s="1011"/>
      <c r="U40" s="1012"/>
      <c r="V40" s="103"/>
      <c r="W40" s="103"/>
    </row>
    <row r="41" spans="2:23">
      <c r="B41" s="564"/>
      <c r="C41" s="977"/>
      <c r="D41" s="978"/>
      <c r="E41" s="974"/>
      <c r="F41" s="975"/>
      <c r="G41" s="976"/>
      <c r="H41" s="296">
        <f>E41*'Standard values'!$D$10+F41*'Standard values'!$D$11+G41*'Standard values'!$D$12</f>
        <v>0</v>
      </c>
      <c r="I41" s="979"/>
      <c r="J41" s="976"/>
      <c r="K41" s="976"/>
      <c r="L41" s="296">
        <f>I41*'Standard values'!$D$10+J41*'Standard values'!$D$11+K41*'Standard values'!$D$12</f>
        <v>0</v>
      </c>
      <c r="M41" s="979"/>
      <c r="N41" s="1005"/>
      <c r="O41" s="1006"/>
      <c r="P41" s="1007"/>
      <c r="Q41" s="1008"/>
      <c r="R41" s="1009"/>
      <c r="S41" s="1010"/>
      <c r="T41" s="1011"/>
      <c r="U41" s="1012"/>
      <c r="V41" s="103"/>
      <c r="W41" s="103"/>
    </row>
    <row r="42" spans="2:23">
      <c r="B42" s="564"/>
      <c r="C42" s="977"/>
      <c r="D42" s="978"/>
      <c r="E42" s="974"/>
      <c r="F42" s="975"/>
      <c r="G42" s="976"/>
      <c r="H42" s="296">
        <f>E42*'Standard values'!$D$10+F42*'Standard values'!$D$11+G42*'Standard values'!$D$12</f>
        <v>0</v>
      </c>
      <c r="I42" s="979"/>
      <c r="J42" s="976"/>
      <c r="K42" s="976"/>
      <c r="L42" s="296">
        <f>I42*'Standard values'!$D$10+J42*'Standard values'!$D$11+K42*'Standard values'!$D$12</f>
        <v>0</v>
      </c>
      <c r="M42" s="979"/>
      <c r="N42" s="1005"/>
      <c r="O42" s="1006"/>
      <c r="P42" s="1007"/>
      <c r="Q42" s="1008"/>
      <c r="R42" s="1009"/>
      <c r="S42" s="1010"/>
      <c r="T42" s="1011"/>
      <c r="U42" s="1012"/>
      <c r="V42" s="103"/>
      <c r="W42" s="103"/>
    </row>
    <row r="43" spans="2:23">
      <c r="B43" s="564"/>
      <c r="C43" s="977"/>
      <c r="D43" s="978"/>
      <c r="E43" s="974"/>
      <c r="F43" s="975"/>
      <c r="G43" s="976"/>
      <c r="H43" s="296">
        <f>E43*'Standard values'!$D$10+F43*'Standard values'!$D$11+G43*'Standard values'!$D$12</f>
        <v>0</v>
      </c>
      <c r="I43" s="979"/>
      <c r="J43" s="976"/>
      <c r="K43" s="976"/>
      <c r="L43" s="296">
        <f>I43*'Standard values'!$D$10+J43*'Standard values'!$D$11+K43*'Standard values'!$D$12</f>
        <v>0</v>
      </c>
      <c r="M43" s="979"/>
      <c r="N43" s="1005"/>
      <c r="O43" s="1006"/>
      <c r="P43" s="1007"/>
      <c r="Q43" s="1008"/>
      <c r="R43" s="1009"/>
      <c r="S43" s="1010"/>
      <c r="T43" s="1011"/>
      <c r="U43" s="1012"/>
      <c r="V43" s="103"/>
      <c r="W43" s="103"/>
    </row>
    <row r="44" spans="2:23">
      <c r="B44" s="564"/>
      <c r="C44" s="977"/>
      <c r="D44" s="978"/>
      <c r="E44" s="974"/>
      <c r="F44" s="975"/>
      <c r="G44" s="976"/>
      <c r="H44" s="296">
        <f>E44*'Standard values'!$D$10+F44*'Standard values'!$D$11+G44*'Standard values'!$D$12</f>
        <v>0</v>
      </c>
      <c r="I44" s="979"/>
      <c r="J44" s="976"/>
      <c r="K44" s="976"/>
      <c r="L44" s="296">
        <f>I44*'Standard values'!$D$10+J44*'Standard values'!$D$11+K44*'Standard values'!$D$12</f>
        <v>0</v>
      </c>
      <c r="M44" s="979"/>
      <c r="N44" s="1005"/>
      <c r="O44" s="1006"/>
      <c r="P44" s="1007"/>
      <c r="Q44" s="1008"/>
      <c r="R44" s="1009"/>
      <c r="S44" s="1010"/>
      <c r="T44" s="1011"/>
      <c r="U44" s="1012"/>
      <c r="V44" s="103"/>
      <c r="W44" s="103"/>
    </row>
    <row r="45" spans="2:23">
      <c r="B45" s="564"/>
      <c r="C45" s="977"/>
      <c r="D45" s="978"/>
      <c r="E45" s="974"/>
      <c r="F45" s="975"/>
      <c r="G45" s="976"/>
      <c r="H45" s="296">
        <f>E45*'Standard values'!$D$10+F45*'Standard values'!$D$11+G45*'Standard values'!$D$12</f>
        <v>0</v>
      </c>
      <c r="I45" s="979"/>
      <c r="J45" s="976"/>
      <c r="K45" s="976"/>
      <c r="L45" s="296">
        <f>I45*'Standard values'!$D$10+J45*'Standard values'!$D$11+K45*'Standard values'!$D$12</f>
        <v>0</v>
      </c>
      <c r="M45" s="979"/>
      <c r="N45" s="1005"/>
      <c r="O45" s="1006"/>
      <c r="P45" s="1007"/>
      <c r="Q45" s="1008"/>
      <c r="R45" s="1009"/>
      <c r="S45" s="1010"/>
      <c r="T45" s="1011"/>
      <c r="U45" s="1012"/>
      <c r="V45" s="103"/>
      <c r="W45" s="103"/>
    </row>
    <row r="46" spans="2:23">
      <c r="B46" s="564"/>
      <c r="C46" s="977"/>
      <c r="D46" s="978"/>
      <c r="E46" s="974"/>
      <c r="F46" s="975"/>
      <c r="G46" s="976"/>
      <c r="H46" s="296">
        <f>E46*'Standard values'!$D$10+F46*'Standard values'!$D$11+G46*'Standard values'!$D$12</f>
        <v>0</v>
      </c>
      <c r="I46" s="979"/>
      <c r="J46" s="976"/>
      <c r="K46" s="976"/>
      <c r="L46" s="296">
        <f>I46*'Standard values'!$D$10+J46*'Standard values'!$D$11+K46*'Standard values'!$D$12</f>
        <v>0</v>
      </c>
      <c r="M46" s="979"/>
      <c r="N46" s="1005"/>
      <c r="O46" s="1006"/>
      <c r="P46" s="1007"/>
      <c r="Q46" s="1008"/>
      <c r="R46" s="1009"/>
      <c r="S46" s="1010"/>
      <c r="T46" s="1011"/>
      <c r="U46" s="1012"/>
      <c r="V46" s="103"/>
      <c r="W46" s="103"/>
    </row>
    <row r="47" spans="2:23">
      <c r="B47" s="564"/>
      <c r="C47" s="977"/>
      <c r="D47" s="978"/>
      <c r="E47" s="974"/>
      <c r="F47" s="975"/>
      <c r="G47" s="976"/>
      <c r="H47" s="296">
        <f>E47*'Standard values'!$D$10+F47*'Standard values'!$D$11+G47*'Standard values'!$D$12</f>
        <v>0</v>
      </c>
      <c r="I47" s="979"/>
      <c r="J47" s="976"/>
      <c r="K47" s="976"/>
      <c r="L47" s="296">
        <f>I47*'Standard values'!$D$10+J47*'Standard values'!$D$11+K47*'Standard values'!$D$12</f>
        <v>0</v>
      </c>
      <c r="M47" s="979"/>
      <c r="N47" s="1005"/>
      <c r="O47" s="1006"/>
      <c r="P47" s="1007"/>
      <c r="Q47" s="1008"/>
      <c r="R47" s="1009"/>
      <c r="S47" s="1010"/>
      <c r="T47" s="1011"/>
      <c r="U47" s="1012"/>
      <c r="V47" s="103"/>
      <c r="W47" s="103"/>
    </row>
    <row r="48" spans="2:23" ht="13.5" thickBot="1">
      <c r="B48" s="980"/>
      <c r="C48" s="981"/>
      <c r="D48" s="982"/>
      <c r="E48" s="983"/>
      <c r="F48" s="984"/>
      <c r="G48" s="984"/>
      <c r="H48" s="981"/>
      <c r="I48" s="985"/>
      <c r="J48" s="984"/>
      <c r="K48" s="984"/>
      <c r="L48" s="981"/>
      <c r="M48" s="985"/>
      <c r="N48" s="984"/>
      <c r="O48" s="984"/>
      <c r="P48" s="981"/>
      <c r="Q48" s="986"/>
      <c r="R48" s="987"/>
      <c r="S48" s="988"/>
      <c r="T48" s="989"/>
      <c r="U48" s="990"/>
      <c r="V48" s="103"/>
      <c r="W48" s="103"/>
    </row>
    <row r="49" spans="19:20">
      <c r="S49" s="215"/>
      <c r="T49" s="231"/>
    </row>
  </sheetData>
  <mergeCells count="7">
    <mergeCell ref="B8:C8"/>
    <mergeCell ref="Q4:Q5"/>
    <mergeCell ref="R4:S5"/>
    <mergeCell ref="B2:C2"/>
    <mergeCell ref="B4:C4"/>
    <mergeCell ref="E5:L5"/>
    <mergeCell ref="M5:N5"/>
  </mergeCells>
  <conditionalFormatting sqref="E7:P7 T7 E48:S48 Q7:S47">
    <cfRule type="cellIs" dxfId="2" priority="1" stopIfTrue="1" operator="equal">
      <formula>"N.A."</formula>
    </cfRule>
  </conditionalFormatting>
  <dataValidations count="2">
    <dataValidation allowBlank="1" showInputMessage="1" showErrorMessage="1" promptTitle="Do not change !" prompt="Do not input any number in this cell or this column._x000a_If you have a GHG emission coefficient in g CO2,eq/MJ then fill this number into the column with heading g CO2/MJ and fill &quot;0&quot; into the columns with heading g CH4/MJ and g N2O/MJ" sqref="L9:L47"/>
    <dataValidation allowBlank="1" showInputMessage="1" showErrorMessage="1" promptTitle="Do not change !" prompt="Do not input any number in this cell or this column._x000a_If you have a GHG emission coefficient in g CO2,eq/kg then fill this number into the column with heading g CO2/kg and fill &quot;0&quot; into the columns with heading g CH4/kg and g N2O/kg" sqref="H9:H47"/>
  </dataValidations>
  <pageMargins left="0.75" right="0.75" top="1" bottom="1" header="0.5" footer="0.5"/>
  <headerFooter alignWithMargins="0">
    <oddFooter>&amp;L&amp;8&amp;F&amp;C&amp;8&amp;A&amp;R&amp;8page&amp;P</oddFooter>
  </headerFooter>
  <drawing r:id="rId1"/>
  <legacyDrawing r:id="rId2"/>
</worksheet>
</file>

<file path=xl/worksheets/sheet26.xml><?xml version="1.0" encoding="utf-8"?>
<worksheet xmlns="http://schemas.openxmlformats.org/spreadsheetml/2006/main" xmlns:r="http://schemas.openxmlformats.org/officeDocument/2006/relationships">
  <sheetPr codeName="Blad5">
    <tabColor rgb="FF00B0F0"/>
    <pageSetUpPr fitToPage="1"/>
  </sheetPr>
  <dimension ref="A1:W49"/>
  <sheetViews>
    <sheetView zoomScale="80" workbookViewId="0">
      <pane xSplit="3" ySplit="6" topLeftCell="D7" activePane="bottomRight" state="frozen"/>
      <selection pane="topRight" activeCell="D1" sqref="D1"/>
      <selection pane="bottomLeft" activeCell="A5" sqref="A5"/>
      <selection pane="bottomRight" activeCell="C10" sqref="C10"/>
    </sheetView>
  </sheetViews>
  <sheetFormatPr defaultColWidth="8.85546875" defaultRowHeight="12.75"/>
  <cols>
    <col min="1" max="1" width="3.140625" style="101" customWidth="1"/>
    <col min="2" max="2" width="4.7109375" style="102" customWidth="1"/>
    <col min="3" max="3" width="48.140625" style="101" customWidth="1"/>
    <col min="4" max="4" width="16.28515625" style="101" customWidth="1"/>
    <col min="5" max="7" width="10.7109375" style="101" customWidth="1"/>
    <col min="8" max="8" width="13.7109375" style="101" customWidth="1"/>
    <col min="9" max="11" width="10.7109375" style="101" customWidth="1"/>
    <col min="12" max="12" width="13.85546875" style="101" customWidth="1"/>
    <col min="13" max="14" width="11.85546875" style="101" customWidth="1"/>
    <col min="15" max="15" width="12" style="101" customWidth="1"/>
    <col min="16" max="16" width="14.7109375" style="101" customWidth="1"/>
    <col min="17" max="19" width="12.7109375" style="101" customWidth="1"/>
    <col min="20" max="20" width="54.42578125" style="101" customWidth="1"/>
    <col min="21" max="21" width="51.85546875" style="101" customWidth="1"/>
    <col min="22" max="22" width="9.28515625" style="101" bestFit="1" customWidth="1"/>
    <col min="23" max="24" width="11.140625" style="101" bestFit="1" customWidth="1"/>
    <col min="25" max="25" width="9.7109375" style="101" bestFit="1" customWidth="1"/>
    <col min="26" max="26" width="11.140625" style="101" bestFit="1" customWidth="1"/>
    <col min="27" max="27" width="8.85546875" style="101"/>
    <col min="28" max="28" width="11.140625" style="101" bestFit="1" customWidth="1"/>
    <col min="29" max="29" width="8.85546875" style="101"/>
    <col min="30" max="30" width="11.140625" style="101" bestFit="1" customWidth="1"/>
    <col min="31" max="16384" width="8.85546875" style="101"/>
  </cols>
  <sheetData>
    <row r="1" spans="1:23" ht="102" customHeight="1" thickBot="1"/>
    <row r="2" spans="1:23" ht="14.25" customHeight="1" thickBot="1">
      <c r="B2" s="3365" t="str">
        <f>About!D2</f>
        <v>Version 4 - Public</v>
      </c>
      <c r="C2" s="3366"/>
      <c r="D2" s="394"/>
    </row>
    <row r="3" spans="1:23" ht="13.5" thickBot="1">
      <c r="C3" s="101">
        <v>1</v>
      </c>
      <c r="D3" s="101">
        <v>2</v>
      </c>
      <c r="E3" s="101">
        <v>3</v>
      </c>
      <c r="F3" s="101">
        <v>4</v>
      </c>
      <c r="G3" s="101">
        <v>5</v>
      </c>
      <c r="H3" s="101">
        <v>6</v>
      </c>
      <c r="I3" s="101">
        <v>7</v>
      </c>
      <c r="J3" s="101">
        <v>8</v>
      </c>
      <c r="K3" s="101">
        <v>9</v>
      </c>
      <c r="L3" s="101">
        <v>10</v>
      </c>
      <c r="M3" s="101">
        <v>11</v>
      </c>
      <c r="N3" s="101">
        <v>12</v>
      </c>
      <c r="O3" s="101">
        <v>13</v>
      </c>
      <c r="P3" s="101">
        <v>14</v>
      </c>
      <c r="Q3" s="215">
        <v>15</v>
      </c>
      <c r="R3" s="215">
        <v>16</v>
      </c>
      <c r="S3" s="215">
        <v>17</v>
      </c>
    </row>
    <row r="4" spans="1:23" ht="19.5">
      <c r="A4" s="233"/>
      <c r="B4" s="3376" t="s">
        <v>1063</v>
      </c>
      <c r="C4" s="3377"/>
      <c r="D4" s="598"/>
      <c r="E4" s="239"/>
      <c r="F4" s="239"/>
      <c r="G4" s="239"/>
      <c r="H4" s="239"/>
      <c r="I4" s="239"/>
      <c r="J4" s="239"/>
      <c r="K4" s="239"/>
      <c r="L4" s="240"/>
      <c r="M4" s="239"/>
      <c r="N4" s="241"/>
      <c r="O4" s="242"/>
      <c r="P4" s="243" t="s">
        <v>1418</v>
      </c>
      <c r="Q4" s="244" t="s">
        <v>1014</v>
      </c>
      <c r="R4" s="3373" t="s">
        <v>1005</v>
      </c>
      <c r="S4" s="3374"/>
      <c r="T4" s="245"/>
      <c r="U4" s="240"/>
    </row>
    <row r="5" spans="1:23" ht="18.75" customHeight="1">
      <c r="A5" s="233"/>
      <c r="B5" s="237"/>
      <c r="C5" s="248" t="s">
        <v>1459</v>
      </c>
      <c r="D5" s="599" t="s">
        <v>1485</v>
      </c>
      <c r="E5" s="3369" t="s">
        <v>1460</v>
      </c>
      <c r="F5" s="3369"/>
      <c r="G5" s="3369"/>
      <c r="H5" s="3369"/>
      <c r="I5" s="3369"/>
      <c r="J5" s="3369"/>
      <c r="K5" s="3369"/>
      <c r="L5" s="3370"/>
      <c r="M5" s="3369" t="s">
        <v>1461</v>
      </c>
      <c r="N5" s="3369"/>
      <c r="O5" s="214" t="s">
        <v>1421</v>
      </c>
      <c r="P5" s="232" t="s">
        <v>1419</v>
      </c>
      <c r="Q5" s="223" t="s">
        <v>1015</v>
      </c>
      <c r="R5" s="3375" t="s">
        <v>1006</v>
      </c>
      <c r="S5" s="3370"/>
      <c r="T5" s="234" t="s">
        <v>1462</v>
      </c>
      <c r="U5" s="234" t="s">
        <v>1463</v>
      </c>
    </row>
    <row r="6" spans="1:23" ht="16.5" thickBot="1">
      <c r="A6" s="233"/>
      <c r="B6" s="238"/>
      <c r="C6" s="249" t="s">
        <v>1464</v>
      </c>
      <c r="D6" s="236"/>
      <c r="E6" s="236" t="s">
        <v>1088</v>
      </c>
      <c r="F6" s="236" t="s">
        <v>1089</v>
      </c>
      <c r="G6" s="236" t="s">
        <v>1090</v>
      </c>
      <c r="H6" s="226" t="s">
        <v>1091</v>
      </c>
      <c r="I6" s="236" t="s">
        <v>1092</v>
      </c>
      <c r="J6" s="236" t="s">
        <v>1093</v>
      </c>
      <c r="K6" s="236" t="s">
        <v>1094</v>
      </c>
      <c r="L6" s="226" t="s">
        <v>1095</v>
      </c>
      <c r="M6" s="222" t="s">
        <v>1110</v>
      </c>
      <c r="N6" s="222" t="s">
        <v>1111</v>
      </c>
      <c r="O6" s="224" t="s">
        <v>1004</v>
      </c>
      <c r="P6" s="232" t="s">
        <v>1466</v>
      </c>
      <c r="Q6" s="246" t="s">
        <v>1465</v>
      </c>
      <c r="R6" s="273" t="s">
        <v>1112</v>
      </c>
      <c r="S6" s="272" t="s">
        <v>1113</v>
      </c>
      <c r="T6" s="279"/>
      <c r="U6" s="247"/>
    </row>
    <row r="7" spans="1:23">
      <c r="A7" s="233"/>
      <c r="B7" s="991"/>
      <c r="C7" s="992"/>
      <c r="D7" s="993"/>
      <c r="E7" s="994"/>
      <c r="F7" s="995"/>
      <c r="G7" s="995"/>
      <c r="H7" s="996"/>
      <c r="I7" s="997"/>
      <c r="J7" s="995"/>
      <c r="K7" s="995"/>
      <c r="L7" s="998"/>
      <c r="M7" s="997"/>
      <c r="N7" s="997"/>
      <c r="O7" s="997"/>
      <c r="P7" s="999"/>
      <c r="Q7" s="1000"/>
      <c r="R7" s="1001"/>
      <c r="S7" s="1002"/>
      <c r="T7" s="1003"/>
      <c r="U7" s="1004"/>
      <c r="V7" s="103"/>
      <c r="W7" s="103"/>
    </row>
    <row r="8" spans="1:23">
      <c r="B8" s="3357" t="s">
        <v>1373</v>
      </c>
      <c r="C8" s="3358"/>
      <c r="D8" s="600"/>
      <c r="E8" s="970"/>
      <c r="F8" s="971"/>
      <c r="G8" s="971"/>
      <c r="H8" s="296"/>
      <c r="I8" s="295"/>
      <c r="J8" s="971"/>
      <c r="K8" s="971"/>
      <c r="L8" s="296"/>
      <c r="M8" s="295"/>
      <c r="N8" s="295"/>
      <c r="O8" s="295"/>
      <c r="P8" s="297"/>
      <c r="Q8" s="298"/>
      <c r="R8" s="299"/>
      <c r="S8" s="300"/>
      <c r="T8" s="301"/>
      <c r="U8" s="302"/>
      <c r="V8" s="103"/>
      <c r="W8" s="103"/>
    </row>
    <row r="9" spans="1:23">
      <c r="B9" s="564"/>
      <c r="C9" s="972" t="s">
        <v>1122</v>
      </c>
      <c r="D9" s="973"/>
      <c r="E9" s="974"/>
      <c r="F9" s="975"/>
      <c r="G9" s="976"/>
      <c r="H9" s="296">
        <f>E9*'Standard values'!$D$10+F9*'Standard values'!$D$11+G9*'Standard values'!$D$12</f>
        <v>0</v>
      </c>
      <c r="I9" s="979">
        <v>87.638888888888886</v>
      </c>
      <c r="J9" s="976">
        <v>0</v>
      </c>
      <c r="K9" s="976">
        <v>0</v>
      </c>
      <c r="L9" s="296">
        <f>I9*'Standard values'!$D$10+J9*'Standard values'!$D$11+K9*'Standard values'!$D$12</f>
        <v>87.638888888888886</v>
      </c>
      <c r="M9" s="979"/>
      <c r="N9" s="1005">
        <v>1.1575</v>
      </c>
      <c r="O9" s="1006">
        <v>832</v>
      </c>
      <c r="P9" s="1007">
        <v>43.1</v>
      </c>
      <c r="Q9" s="1008"/>
      <c r="R9" s="1009"/>
      <c r="S9" s="1010"/>
      <c r="T9" s="1011" t="s">
        <v>1477</v>
      </c>
      <c r="U9" s="1012"/>
      <c r="V9" s="103"/>
      <c r="W9" s="103"/>
    </row>
    <row r="10" spans="1:23">
      <c r="B10" s="564"/>
      <c r="C10" s="2781" t="s">
        <v>1058</v>
      </c>
      <c r="D10" s="973"/>
      <c r="E10" s="974"/>
      <c r="F10" s="975"/>
      <c r="G10" s="976"/>
      <c r="H10" s="296">
        <f>E10*'Standard values'!$D$10+F10*'Standard values'!$D$11+G10*'Standard values'!$D$12</f>
        <v>0</v>
      </c>
      <c r="I10" s="979">
        <v>92.797444444444452</v>
      </c>
      <c r="J10" s="976">
        <v>0.29002777777777777</v>
      </c>
      <c r="K10" s="976">
        <v>3.3333333333333332E-4</v>
      </c>
      <c r="L10" s="296">
        <f>I10*'Standard values'!$D$10+J10*'Standard values'!$D$11+K10*'Standard values'!$D$12</f>
        <v>100.14747222222223</v>
      </c>
      <c r="M10" s="979"/>
      <c r="N10" s="1005">
        <v>1.6594</v>
      </c>
      <c r="O10" s="1006">
        <v>793</v>
      </c>
      <c r="P10" s="1007">
        <v>19.899999999999999</v>
      </c>
      <c r="Q10" s="1008"/>
      <c r="R10" s="1009"/>
      <c r="S10" s="1010"/>
      <c r="T10" s="1011" t="s">
        <v>1478</v>
      </c>
      <c r="U10" s="1012"/>
      <c r="V10" s="103"/>
      <c r="W10" s="103"/>
    </row>
    <row r="11" spans="1:23">
      <c r="B11" s="564"/>
      <c r="C11" s="977" t="s">
        <v>932</v>
      </c>
      <c r="D11" s="978"/>
      <c r="E11" s="974">
        <v>2827.0048999999999</v>
      </c>
      <c r="F11" s="975">
        <v>8.6788000000000007</v>
      </c>
      <c r="G11" s="976">
        <v>9.6417999999999999</v>
      </c>
      <c r="H11" s="296">
        <f>E11*'Standard values'!$D$10+F11*'Standard values'!$D$11+G11*'Standard values'!$D$12</f>
        <v>5917.2312999999995</v>
      </c>
      <c r="I11" s="979"/>
      <c r="J11" s="976"/>
      <c r="K11" s="976"/>
      <c r="L11" s="296">
        <f>I11*'Standard values'!$D$10+J11*'Standard values'!$D$11+K11*'Standard values'!$D$12</f>
        <v>0</v>
      </c>
      <c r="M11" s="979">
        <v>48.990600000000001</v>
      </c>
      <c r="N11" s="1005"/>
      <c r="O11" s="1006"/>
      <c r="P11" s="1007"/>
      <c r="Q11" s="1008"/>
      <c r="R11" s="1009"/>
      <c r="S11" s="1010"/>
      <c r="T11" s="1011"/>
      <c r="U11" s="1012"/>
      <c r="V11" s="103"/>
      <c r="W11" s="103"/>
    </row>
    <row r="12" spans="1:23">
      <c r="B12" s="564"/>
      <c r="C12" s="1124" t="s">
        <v>1163</v>
      </c>
      <c r="D12" s="1125"/>
      <c r="E12" s="1126">
        <v>434</v>
      </c>
      <c r="F12" s="1127">
        <v>0</v>
      </c>
      <c r="G12" s="1127">
        <v>0</v>
      </c>
      <c r="H12" s="1128">
        <f>E12*'Standard values'!$D$10+F12*'Standard values'!$D$11+G12*'Standard values'!$D$12</f>
        <v>434</v>
      </c>
      <c r="I12" s="979"/>
      <c r="J12" s="976"/>
      <c r="K12" s="976"/>
      <c r="L12" s="296">
        <f>I12*'Standard values'!$D$10+J12*'Standard values'!$D$11+K12*'Standard values'!$D$12</f>
        <v>0</v>
      </c>
      <c r="M12" s="979"/>
      <c r="N12" s="1005"/>
      <c r="O12" s="1006"/>
      <c r="P12" s="1007"/>
      <c r="Q12" s="1008"/>
      <c r="R12" s="1009"/>
      <c r="S12" s="1010"/>
      <c r="T12" s="1011" t="s">
        <v>1164</v>
      </c>
      <c r="U12" s="1012" t="s">
        <v>1377</v>
      </c>
      <c r="V12" s="103"/>
      <c r="W12" s="103"/>
    </row>
    <row r="13" spans="1:23">
      <c r="B13" s="564"/>
      <c r="C13" s="977"/>
      <c r="D13" s="978"/>
      <c r="E13" s="974"/>
      <c r="F13" s="975"/>
      <c r="G13" s="976"/>
      <c r="H13" s="296">
        <f>E13*'Standard values'!$D$10+F13*'Standard values'!$D$11+G13*'Standard values'!$D$12</f>
        <v>0</v>
      </c>
      <c r="I13" s="979"/>
      <c r="J13" s="976"/>
      <c r="K13" s="976"/>
      <c r="L13" s="296">
        <f>I13*'Standard values'!$D$10+J13*'Standard values'!$D$11+K13*'Standard values'!$D$12</f>
        <v>0</v>
      </c>
      <c r="M13" s="979"/>
      <c r="N13" s="1005"/>
      <c r="O13" s="1006"/>
      <c r="P13" s="1007"/>
      <c r="Q13" s="1008"/>
      <c r="R13" s="1009"/>
      <c r="S13" s="1010"/>
      <c r="T13" s="1011"/>
      <c r="U13" s="1012"/>
      <c r="V13" s="103"/>
      <c r="W13" s="103"/>
    </row>
    <row r="14" spans="1:23">
      <c r="B14" s="564"/>
      <c r="C14" s="977"/>
      <c r="D14" s="978"/>
      <c r="E14" s="974"/>
      <c r="F14" s="975"/>
      <c r="G14" s="976"/>
      <c r="H14" s="296">
        <f>E14*'Standard values'!$D$10+F14*'Standard values'!$D$11+G14*'Standard values'!$D$12</f>
        <v>0</v>
      </c>
      <c r="I14" s="979"/>
      <c r="J14" s="976"/>
      <c r="K14" s="976"/>
      <c r="L14" s="296">
        <f>I14*'Standard values'!$D$10+J14*'Standard values'!$D$11+K14*'Standard values'!$D$12</f>
        <v>0</v>
      </c>
      <c r="M14" s="979"/>
      <c r="N14" s="1005"/>
      <c r="O14" s="1006"/>
      <c r="P14" s="1007"/>
      <c r="Q14" s="1008"/>
      <c r="R14" s="1009"/>
      <c r="S14" s="1010"/>
      <c r="T14" s="1011"/>
      <c r="U14" s="1012"/>
      <c r="V14" s="103"/>
      <c r="W14" s="103"/>
    </row>
    <row r="15" spans="1:23">
      <c r="B15" s="564"/>
      <c r="C15" s="977"/>
      <c r="D15" s="978"/>
      <c r="E15" s="974"/>
      <c r="F15" s="975"/>
      <c r="G15" s="976"/>
      <c r="H15" s="296">
        <f>E15*'Standard values'!$D$10+F15*'Standard values'!$D$11+G15*'Standard values'!$D$12</f>
        <v>0</v>
      </c>
      <c r="I15" s="979"/>
      <c r="J15" s="976"/>
      <c r="K15" s="976"/>
      <c r="L15" s="296">
        <f>I15*'Standard values'!$D$10+J15*'Standard values'!$D$11+K15*'Standard values'!$D$12</f>
        <v>0</v>
      </c>
      <c r="M15" s="979"/>
      <c r="N15" s="1005"/>
      <c r="O15" s="1006"/>
      <c r="P15" s="1007"/>
      <c r="Q15" s="1008"/>
      <c r="R15" s="1009"/>
      <c r="S15" s="1010"/>
      <c r="T15" s="1011"/>
      <c r="U15" s="1012"/>
      <c r="V15" s="103"/>
      <c r="W15" s="103"/>
    </row>
    <row r="16" spans="1:23">
      <c r="B16" s="564"/>
      <c r="C16" s="977"/>
      <c r="D16" s="978"/>
      <c r="E16" s="974"/>
      <c r="F16" s="975"/>
      <c r="G16" s="976"/>
      <c r="H16" s="296">
        <f>E16*'Standard values'!$D$10+F16*'Standard values'!$D$11+G16*'Standard values'!$D$12</f>
        <v>0</v>
      </c>
      <c r="I16" s="979"/>
      <c r="J16" s="976"/>
      <c r="K16" s="976"/>
      <c r="L16" s="296">
        <f>I16*'Standard values'!$D$10+J16*'Standard values'!$D$11+K16*'Standard values'!$D$12</f>
        <v>0</v>
      </c>
      <c r="M16" s="979"/>
      <c r="N16" s="1005"/>
      <c r="O16" s="1006"/>
      <c r="P16" s="1007"/>
      <c r="Q16" s="1008"/>
      <c r="R16" s="1009"/>
      <c r="S16" s="1010"/>
      <c r="T16" s="1011"/>
      <c r="U16" s="1012"/>
      <c r="V16" s="103"/>
      <c r="W16" s="103"/>
    </row>
    <row r="17" spans="2:23">
      <c r="B17" s="564"/>
      <c r="C17" s="977"/>
      <c r="D17" s="978"/>
      <c r="E17" s="974"/>
      <c r="F17" s="975"/>
      <c r="G17" s="976"/>
      <c r="H17" s="296">
        <f>E17*'Standard values'!$D$10+F17*'Standard values'!$D$11+G17*'Standard values'!$D$12</f>
        <v>0</v>
      </c>
      <c r="I17" s="979"/>
      <c r="J17" s="976"/>
      <c r="K17" s="976"/>
      <c r="L17" s="296">
        <f>I17*'Standard values'!$D$10+J17*'Standard values'!$D$11+K17*'Standard values'!$D$12</f>
        <v>0</v>
      </c>
      <c r="M17" s="979"/>
      <c r="N17" s="1005"/>
      <c r="O17" s="1006"/>
      <c r="P17" s="1007"/>
      <c r="Q17" s="1008"/>
      <c r="R17" s="1009"/>
      <c r="S17" s="1010"/>
      <c r="T17" s="1011"/>
      <c r="U17" s="1012"/>
      <c r="V17" s="103"/>
      <c r="W17" s="103"/>
    </row>
    <row r="18" spans="2:23">
      <c r="B18" s="564"/>
      <c r="C18" s="977"/>
      <c r="D18" s="978"/>
      <c r="E18" s="974"/>
      <c r="F18" s="975"/>
      <c r="G18" s="976"/>
      <c r="H18" s="296">
        <f>E18*'Standard values'!$D$10+F18*'Standard values'!$D$11+G18*'Standard values'!$D$12</f>
        <v>0</v>
      </c>
      <c r="I18" s="979"/>
      <c r="J18" s="976"/>
      <c r="K18" s="976"/>
      <c r="L18" s="296">
        <f>I18*'Standard values'!$D$10+J18*'Standard values'!$D$11+K18*'Standard values'!$D$12</f>
        <v>0</v>
      </c>
      <c r="M18" s="979"/>
      <c r="N18" s="1005"/>
      <c r="O18" s="1006"/>
      <c r="P18" s="1007"/>
      <c r="Q18" s="1008"/>
      <c r="R18" s="1009"/>
      <c r="S18" s="1010"/>
      <c r="T18" s="1011"/>
      <c r="U18" s="1012"/>
      <c r="V18" s="103"/>
      <c r="W18" s="103"/>
    </row>
    <row r="19" spans="2:23">
      <c r="B19" s="564"/>
      <c r="C19" s="977"/>
      <c r="D19" s="978"/>
      <c r="E19" s="974"/>
      <c r="F19" s="975"/>
      <c r="G19" s="976"/>
      <c r="H19" s="296">
        <f>E19*'Standard values'!$D$10+F19*'Standard values'!$D$11+G19*'Standard values'!$D$12</f>
        <v>0</v>
      </c>
      <c r="I19" s="979"/>
      <c r="J19" s="976"/>
      <c r="K19" s="976"/>
      <c r="L19" s="296">
        <f>I19*'Standard values'!$D$10+J19*'Standard values'!$D$11+K19*'Standard values'!$D$12</f>
        <v>0</v>
      </c>
      <c r="M19" s="979"/>
      <c r="N19" s="1005"/>
      <c r="O19" s="1006"/>
      <c r="P19" s="1007"/>
      <c r="Q19" s="1008"/>
      <c r="R19" s="1009"/>
      <c r="S19" s="1010"/>
      <c r="T19" s="1011"/>
      <c r="U19" s="1012"/>
      <c r="V19" s="103"/>
      <c r="W19" s="103"/>
    </row>
    <row r="20" spans="2:23">
      <c r="B20" s="564"/>
      <c r="C20" s="977"/>
      <c r="D20" s="978"/>
      <c r="E20" s="974"/>
      <c r="F20" s="975"/>
      <c r="G20" s="976"/>
      <c r="H20" s="296">
        <f>E20*'Standard values'!$D$10+F20*'Standard values'!$D$11+G20*'Standard values'!$D$12</f>
        <v>0</v>
      </c>
      <c r="I20" s="979"/>
      <c r="J20" s="976"/>
      <c r="K20" s="976"/>
      <c r="L20" s="296">
        <f>I20*'Standard values'!$D$10+J20*'Standard values'!$D$11+K20*'Standard values'!$D$12</f>
        <v>0</v>
      </c>
      <c r="M20" s="979"/>
      <c r="N20" s="1005"/>
      <c r="O20" s="1006"/>
      <c r="P20" s="1007"/>
      <c r="Q20" s="1008"/>
      <c r="R20" s="1009"/>
      <c r="S20" s="1010"/>
      <c r="T20" s="1011"/>
      <c r="U20" s="1012"/>
      <c r="V20" s="103"/>
      <c r="W20" s="103"/>
    </row>
    <row r="21" spans="2:23">
      <c r="B21" s="564"/>
      <c r="C21" s="977"/>
      <c r="D21" s="978"/>
      <c r="E21" s="974"/>
      <c r="F21" s="975"/>
      <c r="G21" s="976"/>
      <c r="H21" s="296">
        <f>E21*'Standard values'!$D$10+F21*'Standard values'!$D$11+G21*'Standard values'!$D$12</f>
        <v>0</v>
      </c>
      <c r="I21" s="979"/>
      <c r="J21" s="976"/>
      <c r="K21" s="976"/>
      <c r="L21" s="296">
        <f>I21*'Standard values'!$D$10+J21*'Standard values'!$D$11+K21*'Standard values'!$D$12</f>
        <v>0</v>
      </c>
      <c r="M21" s="979"/>
      <c r="N21" s="1005"/>
      <c r="O21" s="1006"/>
      <c r="P21" s="1007"/>
      <c r="Q21" s="1008"/>
      <c r="R21" s="1009"/>
      <c r="S21" s="1010"/>
      <c r="T21" s="1011"/>
      <c r="U21" s="1012"/>
      <c r="V21" s="103"/>
      <c r="W21" s="103"/>
    </row>
    <row r="22" spans="2:23">
      <c r="B22" s="564"/>
      <c r="C22" s="977"/>
      <c r="D22" s="978"/>
      <c r="E22" s="974"/>
      <c r="F22" s="975"/>
      <c r="G22" s="976"/>
      <c r="H22" s="296">
        <f>E22*'Standard values'!$D$10+F22*'Standard values'!$D$11+G22*'Standard values'!$D$12</f>
        <v>0</v>
      </c>
      <c r="I22" s="979"/>
      <c r="J22" s="976"/>
      <c r="K22" s="976"/>
      <c r="L22" s="296">
        <f>I22*'Standard values'!$D$10+J22*'Standard values'!$D$11+K22*'Standard values'!$D$12</f>
        <v>0</v>
      </c>
      <c r="M22" s="979"/>
      <c r="N22" s="1005"/>
      <c r="O22" s="1006"/>
      <c r="P22" s="1007"/>
      <c r="Q22" s="1008"/>
      <c r="R22" s="1009"/>
      <c r="S22" s="1010"/>
      <c r="T22" s="1011"/>
      <c r="U22" s="1012"/>
      <c r="V22" s="103"/>
      <c r="W22" s="103"/>
    </row>
    <row r="23" spans="2:23">
      <c r="B23" s="564"/>
      <c r="C23" s="977"/>
      <c r="D23" s="978"/>
      <c r="E23" s="974"/>
      <c r="F23" s="975"/>
      <c r="G23" s="976"/>
      <c r="H23" s="296">
        <f>E23*'Standard values'!$D$10+F23*'Standard values'!$D$11+G23*'Standard values'!$D$12</f>
        <v>0</v>
      </c>
      <c r="I23" s="979"/>
      <c r="J23" s="976"/>
      <c r="K23" s="976"/>
      <c r="L23" s="296">
        <f>I23*'Standard values'!$D$10+J23*'Standard values'!$D$11+K23*'Standard values'!$D$12</f>
        <v>0</v>
      </c>
      <c r="M23" s="979"/>
      <c r="N23" s="1005"/>
      <c r="O23" s="1006"/>
      <c r="P23" s="1007"/>
      <c r="Q23" s="1008"/>
      <c r="R23" s="1009"/>
      <c r="S23" s="1010"/>
      <c r="T23" s="1011"/>
      <c r="U23" s="1012"/>
      <c r="V23" s="103"/>
      <c r="W23" s="103"/>
    </row>
    <row r="24" spans="2:23">
      <c r="B24" s="564"/>
      <c r="C24" s="977"/>
      <c r="D24" s="978"/>
      <c r="E24" s="974"/>
      <c r="F24" s="975"/>
      <c r="G24" s="976"/>
      <c r="H24" s="296">
        <f>E24*'Standard values'!$D$10+F24*'Standard values'!$D$11+G24*'Standard values'!$D$12</f>
        <v>0</v>
      </c>
      <c r="I24" s="979"/>
      <c r="J24" s="976"/>
      <c r="K24" s="976"/>
      <c r="L24" s="296">
        <f>I24*'Standard values'!$D$10+J24*'Standard values'!$D$11+K24*'Standard values'!$D$12</f>
        <v>0</v>
      </c>
      <c r="M24" s="979"/>
      <c r="N24" s="1005"/>
      <c r="O24" s="1006"/>
      <c r="P24" s="1007"/>
      <c r="Q24" s="1008"/>
      <c r="R24" s="1009"/>
      <c r="S24" s="1010"/>
      <c r="T24" s="1011"/>
      <c r="U24" s="1012"/>
      <c r="V24" s="103"/>
      <c r="W24" s="103"/>
    </row>
    <row r="25" spans="2:23">
      <c r="B25" s="564"/>
      <c r="C25" s="977"/>
      <c r="D25" s="978"/>
      <c r="E25" s="974"/>
      <c r="F25" s="975"/>
      <c r="G25" s="976"/>
      <c r="H25" s="296">
        <f>E25*'Standard values'!$D$10+F25*'Standard values'!$D$11+G25*'Standard values'!$D$12</f>
        <v>0</v>
      </c>
      <c r="I25" s="979"/>
      <c r="J25" s="976"/>
      <c r="K25" s="976"/>
      <c r="L25" s="296">
        <f>I25*'Standard values'!$D$10+J25*'Standard values'!$D$11+K25*'Standard values'!$D$12</f>
        <v>0</v>
      </c>
      <c r="M25" s="979"/>
      <c r="N25" s="1005"/>
      <c r="O25" s="1006"/>
      <c r="P25" s="1007"/>
      <c r="Q25" s="1008"/>
      <c r="R25" s="1009"/>
      <c r="S25" s="1010"/>
      <c r="T25" s="1011"/>
      <c r="U25" s="1012"/>
      <c r="V25" s="103"/>
      <c r="W25" s="103"/>
    </row>
    <row r="26" spans="2:23">
      <c r="B26" s="564"/>
      <c r="C26" s="977"/>
      <c r="D26" s="978"/>
      <c r="E26" s="974"/>
      <c r="F26" s="975"/>
      <c r="G26" s="976"/>
      <c r="H26" s="296">
        <f>E26*'Standard values'!$D$10+F26*'Standard values'!$D$11+G26*'Standard values'!$D$12</f>
        <v>0</v>
      </c>
      <c r="I26" s="979"/>
      <c r="J26" s="976"/>
      <c r="K26" s="976"/>
      <c r="L26" s="296">
        <f>I26*'Standard values'!$D$10+J26*'Standard values'!$D$11+K26*'Standard values'!$D$12</f>
        <v>0</v>
      </c>
      <c r="M26" s="979"/>
      <c r="N26" s="1005"/>
      <c r="O26" s="1006"/>
      <c r="P26" s="1007"/>
      <c r="Q26" s="1008"/>
      <c r="R26" s="1009"/>
      <c r="S26" s="1010"/>
      <c r="T26" s="1011"/>
      <c r="U26" s="1012"/>
      <c r="V26" s="103"/>
      <c r="W26" s="103"/>
    </row>
    <row r="27" spans="2:23">
      <c r="B27" s="564"/>
      <c r="C27" s="977"/>
      <c r="D27" s="978"/>
      <c r="E27" s="974"/>
      <c r="F27" s="975"/>
      <c r="G27" s="976"/>
      <c r="H27" s="296">
        <f>E27*'Standard values'!$D$10+F27*'Standard values'!$D$11+G27*'Standard values'!$D$12</f>
        <v>0</v>
      </c>
      <c r="I27" s="979"/>
      <c r="J27" s="976"/>
      <c r="K27" s="976"/>
      <c r="L27" s="296">
        <f>I27*'Standard values'!$D$10+J27*'Standard values'!$D$11+K27*'Standard values'!$D$12</f>
        <v>0</v>
      </c>
      <c r="M27" s="979"/>
      <c r="N27" s="1005"/>
      <c r="O27" s="1006"/>
      <c r="P27" s="1007"/>
      <c r="Q27" s="1008"/>
      <c r="R27" s="1009"/>
      <c r="S27" s="1010"/>
      <c r="T27" s="1011"/>
      <c r="U27" s="1012"/>
      <c r="V27" s="103"/>
      <c r="W27" s="103"/>
    </row>
    <row r="28" spans="2:23">
      <c r="B28" s="564"/>
      <c r="C28" s="977"/>
      <c r="D28" s="978"/>
      <c r="E28" s="974"/>
      <c r="F28" s="975"/>
      <c r="G28" s="976"/>
      <c r="H28" s="296">
        <f>E28*'Standard values'!$D$10+F28*'Standard values'!$D$11+G28*'Standard values'!$D$12</f>
        <v>0</v>
      </c>
      <c r="I28" s="979"/>
      <c r="J28" s="976"/>
      <c r="K28" s="976"/>
      <c r="L28" s="296">
        <f>I28*'Standard values'!$D$10+J28*'Standard values'!$D$11+K28*'Standard values'!$D$12</f>
        <v>0</v>
      </c>
      <c r="M28" s="979"/>
      <c r="N28" s="1005"/>
      <c r="O28" s="1006"/>
      <c r="P28" s="1007"/>
      <c r="Q28" s="1008"/>
      <c r="R28" s="1009"/>
      <c r="S28" s="1010"/>
      <c r="T28" s="1011"/>
      <c r="U28" s="1012"/>
      <c r="V28" s="103"/>
      <c r="W28" s="103"/>
    </row>
    <row r="29" spans="2:23">
      <c r="B29" s="564"/>
      <c r="C29" s="977"/>
      <c r="D29" s="978"/>
      <c r="E29" s="974"/>
      <c r="F29" s="975"/>
      <c r="G29" s="976"/>
      <c r="H29" s="296">
        <f>E29*'Standard values'!$D$10+F29*'Standard values'!$D$11+G29*'Standard values'!$D$12</f>
        <v>0</v>
      </c>
      <c r="I29" s="979"/>
      <c r="J29" s="976"/>
      <c r="K29" s="976"/>
      <c r="L29" s="296">
        <f>I29*'Standard values'!$D$10+J29*'Standard values'!$D$11+K29*'Standard values'!$D$12</f>
        <v>0</v>
      </c>
      <c r="M29" s="979"/>
      <c r="N29" s="1005"/>
      <c r="O29" s="1006"/>
      <c r="P29" s="1007"/>
      <c r="Q29" s="1008"/>
      <c r="R29" s="1009"/>
      <c r="S29" s="1010"/>
      <c r="T29" s="1011"/>
      <c r="U29" s="1012"/>
      <c r="V29" s="103"/>
      <c r="W29" s="103"/>
    </row>
    <row r="30" spans="2:23">
      <c r="B30" s="564"/>
      <c r="C30" s="977"/>
      <c r="D30" s="978"/>
      <c r="E30" s="974"/>
      <c r="F30" s="975"/>
      <c r="G30" s="976"/>
      <c r="H30" s="296">
        <f>E30*'Standard values'!$D$10+F30*'Standard values'!$D$11+G30*'Standard values'!$D$12</f>
        <v>0</v>
      </c>
      <c r="I30" s="979"/>
      <c r="J30" s="976"/>
      <c r="K30" s="976"/>
      <c r="L30" s="296">
        <f>I30*'Standard values'!$D$10+J30*'Standard values'!$D$11+K30*'Standard values'!$D$12</f>
        <v>0</v>
      </c>
      <c r="M30" s="979"/>
      <c r="N30" s="1005"/>
      <c r="O30" s="1006"/>
      <c r="P30" s="1007"/>
      <c r="Q30" s="1008"/>
      <c r="R30" s="1009"/>
      <c r="S30" s="1010"/>
      <c r="T30" s="1011"/>
      <c r="U30" s="1012"/>
      <c r="V30" s="103"/>
      <c r="W30" s="103"/>
    </row>
    <row r="31" spans="2:23">
      <c r="B31" s="564"/>
      <c r="C31" s="977"/>
      <c r="D31" s="978"/>
      <c r="E31" s="974"/>
      <c r="F31" s="975"/>
      <c r="G31" s="976"/>
      <c r="H31" s="296">
        <f>E31*'Standard values'!$D$10+F31*'Standard values'!$D$11+G31*'Standard values'!$D$12</f>
        <v>0</v>
      </c>
      <c r="I31" s="979"/>
      <c r="J31" s="976"/>
      <c r="K31" s="976"/>
      <c r="L31" s="296">
        <f>I31*'Standard values'!$D$10+J31*'Standard values'!$D$11+K31*'Standard values'!$D$12</f>
        <v>0</v>
      </c>
      <c r="M31" s="979"/>
      <c r="N31" s="1005"/>
      <c r="O31" s="1006"/>
      <c r="P31" s="1007"/>
      <c r="Q31" s="1008"/>
      <c r="R31" s="1009"/>
      <c r="S31" s="1010"/>
      <c r="T31" s="1011"/>
      <c r="U31" s="1012"/>
      <c r="V31" s="103"/>
      <c r="W31" s="103"/>
    </row>
    <row r="32" spans="2:23">
      <c r="B32" s="564"/>
      <c r="C32" s="977"/>
      <c r="D32" s="978"/>
      <c r="E32" s="974"/>
      <c r="F32" s="975"/>
      <c r="G32" s="976"/>
      <c r="H32" s="296">
        <f>E32*'Standard values'!$D$10+F32*'Standard values'!$D$11+G32*'Standard values'!$D$12</f>
        <v>0</v>
      </c>
      <c r="I32" s="979"/>
      <c r="J32" s="976"/>
      <c r="K32" s="976"/>
      <c r="L32" s="296">
        <f>I32*'Standard values'!$D$10+J32*'Standard values'!$D$11+K32*'Standard values'!$D$12</f>
        <v>0</v>
      </c>
      <c r="M32" s="979"/>
      <c r="N32" s="1005"/>
      <c r="O32" s="1006"/>
      <c r="P32" s="1007"/>
      <c r="Q32" s="1008"/>
      <c r="R32" s="1009"/>
      <c r="S32" s="1010"/>
      <c r="T32" s="1011"/>
      <c r="U32" s="1012"/>
      <c r="V32" s="103"/>
      <c r="W32" s="103"/>
    </row>
    <row r="33" spans="2:23">
      <c r="B33" s="564"/>
      <c r="C33" s="977"/>
      <c r="D33" s="978"/>
      <c r="E33" s="974"/>
      <c r="F33" s="975"/>
      <c r="G33" s="976"/>
      <c r="H33" s="296">
        <f>E33*'Standard values'!$D$10+F33*'Standard values'!$D$11+G33*'Standard values'!$D$12</f>
        <v>0</v>
      </c>
      <c r="I33" s="979"/>
      <c r="J33" s="976"/>
      <c r="K33" s="976"/>
      <c r="L33" s="296">
        <f>I33*'Standard values'!$D$10+J33*'Standard values'!$D$11+K33*'Standard values'!$D$12</f>
        <v>0</v>
      </c>
      <c r="M33" s="979"/>
      <c r="N33" s="1005"/>
      <c r="O33" s="1006"/>
      <c r="P33" s="1007"/>
      <c r="Q33" s="1008"/>
      <c r="R33" s="1009"/>
      <c r="S33" s="1010"/>
      <c r="T33" s="1011"/>
      <c r="U33" s="1012"/>
      <c r="V33" s="103"/>
      <c r="W33" s="103"/>
    </row>
    <row r="34" spans="2:23">
      <c r="B34" s="564"/>
      <c r="C34" s="977"/>
      <c r="D34" s="978"/>
      <c r="E34" s="974"/>
      <c r="F34" s="975"/>
      <c r="G34" s="976"/>
      <c r="H34" s="296">
        <f>E34*'Standard values'!$D$10+F34*'Standard values'!$D$11+G34*'Standard values'!$D$12</f>
        <v>0</v>
      </c>
      <c r="I34" s="979"/>
      <c r="J34" s="976"/>
      <c r="K34" s="976"/>
      <c r="L34" s="296">
        <f>I34*'Standard values'!$D$10+J34*'Standard values'!$D$11+K34*'Standard values'!$D$12</f>
        <v>0</v>
      </c>
      <c r="M34" s="979"/>
      <c r="N34" s="1005"/>
      <c r="O34" s="1006"/>
      <c r="P34" s="1007"/>
      <c r="Q34" s="1008"/>
      <c r="R34" s="1009"/>
      <c r="S34" s="1010"/>
      <c r="T34" s="1011"/>
      <c r="U34" s="1012"/>
      <c r="V34" s="103"/>
      <c r="W34" s="103"/>
    </row>
    <row r="35" spans="2:23">
      <c r="B35" s="564"/>
      <c r="C35" s="977"/>
      <c r="D35" s="978"/>
      <c r="E35" s="974"/>
      <c r="F35" s="975"/>
      <c r="G35" s="976"/>
      <c r="H35" s="296">
        <f>E35*'Standard values'!$D$10+F35*'Standard values'!$D$11+G35*'Standard values'!$D$12</f>
        <v>0</v>
      </c>
      <c r="I35" s="979"/>
      <c r="J35" s="976"/>
      <c r="K35" s="976"/>
      <c r="L35" s="296">
        <f>I35*'Standard values'!$D$10+J35*'Standard values'!$D$11+K35*'Standard values'!$D$12</f>
        <v>0</v>
      </c>
      <c r="M35" s="979"/>
      <c r="N35" s="1005"/>
      <c r="O35" s="1006"/>
      <c r="P35" s="1007"/>
      <c r="Q35" s="1008"/>
      <c r="R35" s="1009"/>
      <c r="S35" s="1010"/>
      <c r="T35" s="1011"/>
      <c r="U35" s="1012"/>
      <c r="V35" s="103"/>
      <c r="W35" s="103"/>
    </row>
    <row r="36" spans="2:23">
      <c r="B36" s="564"/>
      <c r="C36" s="977"/>
      <c r="D36" s="978"/>
      <c r="E36" s="974"/>
      <c r="F36" s="975"/>
      <c r="G36" s="976"/>
      <c r="H36" s="296">
        <f>E36*'Standard values'!$D$10+F36*'Standard values'!$D$11+G36*'Standard values'!$D$12</f>
        <v>0</v>
      </c>
      <c r="I36" s="979"/>
      <c r="J36" s="976"/>
      <c r="K36" s="976"/>
      <c r="L36" s="296">
        <f>I36*'Standard values'!$D$10+J36*'Standard values'!$D$11+K36*'Standard values'!$D$12</f>
        <v>0</v>
      </c>
      <c r="M36" s="979"/>
      <c r="N36" s="1005"/>
      <c r="O36" s="1006"/>
      <c r="P36" s="1007"/>
      <c r="Q36" s="1008"/>
      <c r="R36" s="1009"/>
      <c r="S36" s="1010"/>
      <c r="T36" s="1011"/>
      <c r="U36" s="1012"/>
      <c r="V36" s="103"/>
      <c r="W36" s="103"/>
    </row>
    <row r="37" spans="2:23">
      <c r="B37" s="564"/>
      <c r="C37" s="977"/>
      <c r="D37" s="978"/>
      <c r="E37" s="974"/>
      <c r="F37" s="975"/>
      <c r="G37" s="976"/>
      <c r="H37" s="296">
        <f>E37*'Standard values'!$D$10+F37*'Standard values'!$D$11+G37*'Standard values'!$D$12</f>
        <v>0</v>
      </c>
      <c r="I37" s="979"/>
      <c r="J37" s="976"/>
      <c r="K37" s="976"/>
      <c r="L37" s="296">
        <f>I37*'Standard values'!$D$10+J37*'Standard values'!$D$11+K37*'Standard values'!$D$12</f>
        <v>0</v>
      </c>
      <c r="M37" s="979"/>
      <c r="N37" s="1005"/>
      <c r="O37" s="1006"/>
      <c r="P37" s="1007"/>
      <c r="Q37" s="1008"/>
      <c r="R37" s="1009"/>
      <c r="S37" s="1010"/>
      <c r="T37" s="1011"/>
      <c r="U37" s="1012"/>
      <c r="V37" s="103"/>
      <c r="W37" s="103"/>
    </row>
    <row r="38" spans="2:23">
      <c r="B38" s="564"/>
      <c r="C38" s="977"/>
      <c r="D38" s="978"/>
      <c r="E38" s="974"/>
      <c r="F38" s="975"/>
      <c r="G38" s="976"/>
      <c r="H38" s="296">
        <f>E38*'Standard values'!$D$10+F38*'Standard values'!$D$11+G38*'Standard values'!$D$12</f>
        <v>0</v>
      </c>
      <c r="I38" s="979"/>
      <c r="J38" s="976"/>
      <c r="K38" s="976"/>
      <c r="L38" s="296">
        <f>I38*'Standard values'!$D$10+J38*'Standard values'!$D$11+K38*'Standard values'!$D$12</f>
        <v>0</v>
      </c>
      <c r="M38" s="979"/>
      <c r="N38" s="1005"/>
      <c r="O38" s="1006"/>
      <c r="P38" s="1007"/>
      <c r="Q38" s="1008"/>
      <c r="R38" s="1009"/>
      <c r="S38" s="1010"/>
      <c r="T38" s="1011"/>
      <c r="U38" s="1012"/>
      <c r="V38" s="103"/>
      <c r="W38" s="103"/>
    </row>
    <row r="39" spans="2:23">
      <c r="B39" s="564"/>
      <c r="C39" s="977"/>
      <c r="D39" s="978"/>
      <c r="E39" s="974"/>
      <c r="F39" s="975"/>
      <c r="G39" s="976"/>
      <c r="H39" s="296">
        <f>E39*'Standard values'!$D$10+F39*'Standard values'!$D$11+G39*'Standard values'!$D$12</f>
        <v>0</v>
      </c>
      <c r="I39" s="979"/>
      <c r="J39" s="976"/>
      <c r="K39" s="976"/>
      <c r="L39" s="296">
        <f>I39*'Standard values'!$D$10+J39*'Standard values'!$D$11+K39*'Standard values'!$D$12</f>
        <v>0</v>
      </c>
      <c r="M39" s="979"/>
      <c r="N39" s="1005"/>
      <c r="O39" s="1006"/>
      <c r="P39" s="1007"/>
      <c r="Q39" s="1008"/>
      <c r="R39" s="1009"/>
      <c r="S39" s="1010"/>
      <c r="T39" s="1011"/>
      <c r="U39" s="1012"/>
      <c r="V39" s="103"/>
      <c r="W39" s="103"/>
    </row>
    <row r="40" spans="2:23">
      <c r="B40" s="564"/>
      <c r="C40" s="977"/>
      <c r="D40" s="978"/>
      <c r="E40" s="974"/>
      <c r="F40" s="975"/>
      <c r="G40" s="976"/>
      <c r="H40" s="296">
        <f>E40*'Standard values'!$D$10+F40*'Standard values'!$D$11+G40*'Standard values'!$D$12</f>
        <v>0</v>
      </c>
      <c r="I40" s="979"/>
      <c r="J40" s="976"/>
      <c r="K40" s="976"/>
      <c r="L40" s="296">
        <f>I40*'Standard values'!$D$10+J40*'Standard values'!$D$11+K40*'Standard values'!$D$12</f>
        <v>0</v>
      </c>
      <c r="M40" s="979"/>
      <c r="N40" s="1005"/>
      <c r="O40" s="1006"/>
      <c r="P40" s="1007"/>
      <c r="Q40" s="1008"/>
      <c r="R40" s="1009"/>
      <c r="S40" s="1010"/>
      <c r="T40" s="1011"/>
      <c r="U40" s="1012"/>
      <c r="V40" s="103"/>
      <c r="W40" s="103"/>
    </row>
    <row r="41" spans="2:23">
      <c r="B41" s="564"/>
      <c r="C41" s="977"/>
      <c r="D41" s="978"/>
      <c r="E41" s="974"/>
      <c r="F41" s="975"/>
      <c r="G41" s="976"/>
      <c r="H41" s="296">
        <f>E41*'Standard values'!$D$10+F41*'Standard values'!$D$11+G41*'Standard values'!$D$12</f>
        <v>0</v>
      </c>
      <c r="I41" s="979"/>
      <c r="J41" s="976"/>
      <c r="K41" s="976"/>
      <c r="L41" s="296">
        <f>I41*'Standard values'!$D$10+J41*'Standard values'!$D$11+K41*'Standard values'!$D$12</f>
        <v>0</v>
      </c>
      <c r="M41" s="979"/>
      <c r="N41" s="1005"/>
      <c r="O41" s="1006"/>
      <c r="P41" s="1007"/>
      <c r="Q41" s="1008"/>
      <c r="R41" s="1009"/>
      <c r="S41" s="1010"/>
      <c r="T41" s="1011"/>
      <c r="U41" s="1012"/>
      <c r="V41" s="103"/>
      <c r="W41" s="103"/>
    </row>
    <row r="42" spans="2:23">
      <c r="B42" s="564"/>
      <c r="C42" s="977"/>
      <c r="D42" s="978"/>
      <c r="E42" s="974"/>
      <c r="F42" s="975"/>
      <c r="G42" s="976"/>
      <c r="H42" s="296">
        <f>E42*'Standard values'!$D$10+F42*'Standard values'!$D$11+G42*'Standard values'!$D$12</f>
        <v>0</v>
      </c>
      <c r="I42" s="979"/>
      <c r="J42" s="976"/>
      <c r="K42" s="976"/>
      <c r="L42" s="296">
        <f>I42*'Standard values'!$D$10+J42*'Standard values'!$D$11+K42*'Standard values'!$D$12</f>
        <v>0</v>
      </c>
      <c r="M42" s="979"/>
      <c r="N42" s="1005"/>
      <c r="O42" s="1006"/>
      <c r="P42" s="1007"/>
      <c r="Q42" s="1008"/>
      <c r="R42" s="1009"/>
      <c r="S42" s="1010"/>
      <c r="T42" s="1011"/>
      <c r="U42" s="1012"/>
      <c r="V42" s="103"/>
      <c r="W42" s="103"/>
    </row>
    <row r="43" spans="2:23">
      <c r="B43" s="564"/>
      <c r="C43" s="977"/>
      <c r="D43" s="978"/>
      <c r="E43" s="974"/>
      <c r="F43" s="975"/>
      <c r="G43" s="976"/>
      <c r="H43" s="296">
        <f>E43*'Standard values'!$D$10+F43*'Standard values'!$D$11+G43*'Standard values'!$D$12</f>
        <v>0</v>
      </c>
      <c r="I43" s="979"/>
      <c r="J43" s="976"/>
      <c r="K43" s="976"/>
      <c r="L43" s="296">
        <f>I43*'Standard values'!$D$10+J43*'Standard values'!$D$11+K43*'Standard values'!$D$12</f>
        <v>0</v>
      </c>
      <c r="M43" s="979"/>
      <c r="N43" s="1005"/>
      <c r="O43" s="1006"/>
      <c r="P43" s="1007"/>
      <c r="Q43" s="1008"/>
      <c r="R43" s="1009"/>
      <c r="S43" s="1010"/>
      <c r="T43" s="1011"/>
      <c r="U43" s="1012"/>
      <c r="V43" s="103"/>
      <c r="W43" s="103"/>
    </row>
    <row r="44" spans="2:23">
      <c r="B44" s="564"/>
      <c r="C44" s="977"/>
      <c r="D44" s="978"/>
      <c r="E44" s="974"/>
      <c r="F44" s="975"/>
      <c r="G44" s="976"/>
      <c r="H44" s="296">
        <f>E44*'Standard values'!$D$10+F44*'Standard values'!$D$11+G44*'Standard values'!$D$12</f>
        <v>0</v>
      </c>
      <c r="I44" s="979"/>
      <c r="J44" s="976"/>
      <c r="K44" s="976"/>
      <c r="L44" s="296">
        <f>I44*'Standard values'!$D$10+J44*'Standard values'!$D$11+K44*'Standard values'!$D$12</f>
        <v>0</v>
      </c>
      <c r="M44" s="979"/>
      <c r="N44" s="1005"/>
      <c r="O44" s="1006"/>
      <c r="P44" s="1007"/>
      <c r="Q44" s="1008"/>
      <c r="R44" s="1009"/>
      <c r="S44" s="1010"/>
      <c r="T44" s="1011"/>
      <c r="U44" s="1012"/>
      <c r="V44" s="103"/>
      <c r="W44" s="103"/>
    </row>
    <row r="45" spans="2:23">
      <c r="B45" s="564"/>
      <c r="C45" s="977"/>
      <c r="D45" s="978"/>
      <c r="E45" s="974"/>
      <c r="F45" s="975"/>
      <c r="G45" s="976"/>
      <c r="H45" s="296">
        <f>E45*'Standard values'!$D$10+F45*'Standard values'!$D$11+G45*'Standard values'!$D$12</f>
        <v>0</v>
      </c>
      <c r="I45" s="979"/>
      <c r="J45" s="976"/>
      <c r="K45" s="976"/>
      <c r="L45" s="296">
        <f>I45*'Standard values'!$D$10+J45*'Standard values'!$D$11+K45*'Standard values'!$D$12</f>
        <v>0</v>
      </c>
      <c r="M45" s="979"/>
      <c r="N45" s="1005"/>
      <c r="O45" s="1006"/>
      <c r="P45" s="1007"/>
      <c r="Q45" s="1008"/>
      <c r="R45" s="1009"/>
      <c r="S45" s="1010"/>
      <c r="T45" s="1011"/>
      <c r="U45" s="1012"/>
      <c r="V45" s="103"/>
      <c r="W45" s="103"/>
    </row>
    <row r="46" spans="2:23">
      <c r="B46" s="564"/>
      <c r="C46" s="977"/>
      <c r="D46" s="978"/>
      <c r="E46" s="974"/>
      <c r="F46" s="975"/>
      <c r="G46" s="976"/>
      <c r="H46" s="296">
        <f>E46*'Standard values'!$D$10+F46*'Standard values'!$D$11+G46*'Standard values'!$D$12</f>
        <v>0</v>
      </c>
      <c r="I46" s="979"/>
      <c r="J46" s="976"/>
      <c r="K46" s="976"/>
      <c r="L46" s="296">
        <f>I46*'Standard values'!$D$10+J46*'Standard values'!$D$11+K46*'Standard values'!$D$12</f>
        <v>0</v>
      </c>
      <c r="M46" s="979"/>
      <c r="N46" s="1005"/>
      <c r="O46" s="1006"/>
      <c r="P46" s="1007"/>
      <c r="Q46" s="1008"/>
      <c r="R46" s="1009"/>
      <c r="S46" s="1010"/>
      <c r="T46" s="1011"/>
      <c r="U46" s="1012"/>
      <c r="V46" s="103"/>
      <c r="W46" s="103"/>
    </row>
    <row r="47" spans="2:23">
      <c r="B47" s="564"/>
      <c r="C47" s="977"/>
      <c r="D47" s="978"/>
      <c r="E47" s="974"/>
      <c r="F47" s="975"/>
      <c r="G47" s="976"/>
      <c r="H47" s="296">
        <f>E47*'Standard values'!$D$10+F47*'Standard values'!$D$11+G47*'Standard values'!$D$12</f>
        <v>0</v>
      </c>
      <c r="I47" s="979"/>
      <c r="J47" s="976"/>
      <c r="K47" s="976"/>
      <c r="L47" s="296">
        <f>I47*'Standard values'!$D$10+J47*'Standard values'!$D$11+K47*'Standard values'!$D$12</f>
        <v>0</v>
      </c>
      <c r="M47" s="979"/>
      <c r="N47" s="1005"/>
      <c r="O47" s="1006"/>
      <c r="P47" s="1007"/>
      <c r="Q47" s="1008"/>
      <c r="R47" s="1009"/>
      <c r="S47" s="1010"/>
      <c r="T47" s="1011"/>
      <c r="U47" s="1012"/>
      <c r="V47" s="103"/>
      <c r="W47" s="103"/>
    </row>
    <row r="48" spans="2:23" ht="13.5" thickBot="1">
      <c r="B48" s="980"/>
      <c r="C48" s="981"/>
      <c r="D48" s="982"/>
      <c r="E48" s="983"/>
      <c r="F48" s="984"/>
      <c r="G48" s="984"/>
      <c r="H48" s="981"/>
      <c r="I48" s="985"/>
      <c r="J48" s="984"/>
      <c r="K48" s="984"/>
      <c r="L48" s="981"/>
      <c r="M48" s="985"/>
      <c r="N48" s="984"/>
      <c r="O48" s="984"/>
      <c r="P48" s="981"/>
      <c r="Q48" s="986"/>
      <c r="R48" s="987"/>
      <c r="S48" s="988"/>
      <c r="T48" s="989"/>
      <c r="U48" s="990"/>
      <c r="V48" s="103"/>
      <c r="W48" s="103"/>
    </row>
    <row r="49" spans="19:20">
      <c r="S49" s="215"/>
      <c r="T49" s="231"/>
    </row>
  </sheetData>
  <customSheetViews>
    <customSheetView guid="{AD88818B-9F97-4B1E-9426-0DECE603685E}" fitToPage="1" showRuler="0">
      <pane xSplit="3" ySplit="4" topLeftCell="D5" activePane="bottomRight" state="frozenSplit"/>
      <selection pane="bottomRight" activeCell="I11" sqref="I11"/>
      <pageMargins left="0.7" right="0.7" top="0.75" bottom="0.75" header="0.3" footer="0.3"/>
      <headerFooter alignWithMargins="0">
        <oddFooter>&amp;L&amp;8&amp;F&amp;C&amp;8&amp;A&amp;R&amp;8page&amp;P</oddFooter>
      </headerFooter>
    </customSheetView>
    <customSheetView guid="{7EB5D807-CE20-46E2-AEE6-2C193E010EA4}" fitToPage="1" showRuler="0">
      <pane xSplit="3" ySplit="4" topLeftCell="D5" activePane="bottomRight" state="frozenSplit"/>
      <selection pane="bottomRight" activeCell="I11" sqref="I11"/>
      <pageMargins left="0.7" right="0.7" top="0.75" bottom="0.75" header="0.3" footer="0.3"/>
      <headerFooter alignWithMargins="0">
        <oddFooter>&amp;L&amp;8&amp;F&amp;C&amp;8&amp;A&amp;R&amp;8page&amp;P</oddFooter>
      </headerFooter>
    </customSheetView>
  </customSheetViews>
  <mergeCells count="7">
    <mergeCell ref="B2:C2"/>
    <mergeCell ref="M5:N5"/>
    <mergeCell ref="B8:C8"/>
    <mergeCell ref="R4:S4"/>
    <mergeCell ref="R5:S5"/>
    <mergeCell ref="E5:L5"/>
    <mergeCell ref="B4:C4"/>
  </mergeCells>
  <phoneticPr fontId="28" type="noConversion"/>
  <conditionalFormatting sqref="E7:P7 T7 E48:S48 Q7:S47">
    <cfRule type="cellIs" dxfId="1" priority="1" stopIfTrue="1" operator="equal">
      <formula>"N.A."</formula>
    </cfRule>
  </conditionalFormatting>
  <dataValidations count="2">
    <dataValidation allowBlank="1" showInputMessage="1" showErrorMessage="1" promptTitle="Do not change !" prompt="Do not input any number in this cell or this column._x000a_If you have a GHG emission coefficient in g CO2,eq/kg then fill this number into the column with heading g CO2/kg and fill &quot;0&quot; into the columns with heading g CH4/kg and g N2O/kg" sqref="H9:H47"/>
    <dataValidation allowBlank="1" showInputMessage="1" showErrorMessage="1" promptTitle="Do not change !" prompt="Do not input any number in this cell or this column._x000a_If you have a GHG emission coefficient in g CO2,eq/MJ then fill this number into the column with heading g CO2/MJ and fill &quot;0&quot; into the columns with heading g CH4/MJ and g N2O/MJ" sqref="L9:L47"/>
  </dataValidations>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27.xml><?xml version="1.0" encoding="utf-8"?>
<worksheet xmlns="http://schemas.openxmlformats.org/spreadsheetml/2006/main" xmlns:r="http://schemas.openxmlformats.org/officeDocument/2006/relationships">
  <sheetPr codeName="Blad6">
    <pageSetUpPr fitToPage="1"/>
  </sheetPr>
  <dimension ref="A1:AK160"/>
  <sheetViews>
    <sheetView zoomScale="80" workbookViewId="0">
      <pane ySplit="7" topLeftCell="A8" activePane="bottomLeft" state="frozen"/>
      <selection pane="bottomLeft" activeCell="S2" sqref="S2"/>
    </sheetView>
  </sheetViews>
  <sheetFormatPr defaultColWidth="8.85546875" defaultRowHeight="12.75"/>
  <cols>
    <col min="1" max="1" width="3.140625" style="101" customWidth="1"/>
    <col min="2" max="2" width="4.7109375" style="102" customWidth="1"/>
    <col min="3" max="3" width="52.28515625" style="101" customWidth="1"/>
    <col min="4" max="4" width="12" style="101" customWidth="1"/>
    <col min="5" max="7" width="10.7109375" style="101" customWidth="1"/>
    <col min="8" max="8" width="13.7109375" style="101" customWidth="1"/>
    <col min="9" max="11" width="10.7109375" style="101" customWidth="1"/>
    <col min="12" max="12" width="13.85546875" style="101" customWidth="1"/>
    <col min="13" max="15" width="12" style="101" customWidth="1"/>
    <col min="16" max="16" width="14.42578125" style="101" customWidth="1"/>
    <col min="17" max="19" width="12.7109375" style="101" customWidth="1"/>
    <col min="20" max="20" width="40.7109375" style="101" customWidth="1"/>
    <col min="21" max="21" width="139.28515625" style="101" customWidth="1"/>
    <col min="22" max="22" width="13.28515625" style="101" bestFit="1" customWidth="1"/>
    <col min="23" max="23" width="10.140625" style="101" bestFit="1" customWidth="1"/>
    <col min="24" max="24" width="13.28515625" style="101" bestFit="1" customWidth="1"/>
    <col min="25" max="25" width="8.85546875" style="101"/>
    <col min="26" max="26" width="10.140625" style="101" bestFit="1" customWidth="1"/>
    <col min="27" max="27" width="8.85546875" style="101"/>
    <col min="28" max="28" width="13.28515625" style="101" bestFit="1" customWidth="1"/>
    <col min="29" max="16384" width="8.85546875" style="101"/>
  </cols>
  <sheetData>
    <row r="1" spans="1:37" ht="102" customHeight="1" thickBot="1"/>
    <row r="2" spans="1:37" ht="14.25" customHeight="1" thickBot="1">
      <c r="B2" s="395" t="s">
        <v>930</v>
      </c>
      <c r="C2" s="274"/>
      <c r="D2" s="394"/>
    </row>
    <row r="3" spans="1:37" ht="13.5" thickBot="1">
      <c r="C3" s="101">
        <v>1</v>
      </c>
      <c r="D3" s="101">
        <v>2</v>
      </c>
      <c r="E3" s="101">
        <v>3</v>
      </c>
      <c r="F3" s="101">
        <v>4</v>
      </c>
      <c r="G3" s="101">
        <v>5</v>
      </c>
      <c r="H3" s="101">
        <v>6</v>
      </c>
      <c r="I3" s="101">
        <v>7</v>
      </c>
      <c r="J3" s="101">
        <v>8</v>
      </c>
      <c r="K3" s="101">
        <v>9</v>
      </c>
      <c r="L3" s="101">
        <v>10</v>
      </c>
      <c r="M3" s="101">
        <v>11</v>
      </c>
      <c r="N3" s="101">
        <v>12</v>
      </c>
      <c r="O3" s="101">
        <v>13</v>
      </c>
      <c r="P3" s="101">
        <v>14</v>
      </c>
      <c r="Q3" s="215">
        <v>15</v>
      </c>
      <c r="R3" s="215">
        <v>16</v>
      </c>
      <c r="S3" s="215">
        <v>17</v>
      </c>
    </row>
    <row r="4" spans="1:37" ht="19.5">
      <c r="B4" s="3376" t="s">
        <v>1458</v>
      </c>
      <c r="C4" s="3377"/>
      <c r="D4" s="399"/>
      <c r="E4" s="239"/>
      <c r="F4" s="239"/>
      <c r="G4" s="239"/>
      <c r="H4" s="239"/>
      <c r="I4" s="239"/>
      <c r="J4" s="239"/>
      <c r="K4" s="239"/>
      <c r="L4" s="240"/>
      <c r="M4" s="239"/>
      <c r="N4" s="244"/>
      <c r="O4" s="242"/>
      <c r="P4" s="243" t="s">
        <v>1418</v>
      </c>
      <c r="Q4" s="241" t="s">
        <v>1014</v>
      </c>
      <c r="R4" s="3373" t="s">
        <v>1005</v>
      </c>
      <c r="S4" s="3374"/>
      <c r="T4" s="245"/>
      <c r="U4" s="240"/>
    </row>
    <row r="5" spans="1:37">
      <c r="B5" s="251"/>
      <c r="C5" s="248" t="s">
        <v>1459</v>
      </c>
      <c r="D5" s="234" t="s">
        <v>977</v>
      </c>
      <c r="E5" s="3369" t="s">
        <v>1460</v>
      </c>
      <c r="F5" s="3369"/>
      <c r="G5" s="3369"/>
      <c r="H5" s="3369"/>
      <c r="I5" s="3369"/>
      <c r="J5" s="3369"/>
      <c r="K5" s="3369"/>
      <c r="L5" s="3370"/>
      <c r="M5" s="3369" t="s">
        <v>1461</v>
      </c>
      <c r="N5" s="3369"/>
      <c r="O5" s="214" t="s">
        <v>1421</v>
      </c>
      <c r="P5" s="232" t="s">
        <v>1419</v>
      </c>
      <c r="Q5" s="213" t="s">
        <v>1015</v>
      </c>
      <c r="R5" s="3375" t="s">
        <v>1006</v>
      </c>
      <c r="S5" s="3370"/>
      <c r="T5" s="234" t="s">
        <v>1462</v>
      </c>
      <c r="U5" s="225" t="s">
        <v>1463</v>
      </c>
    </row>
    <row r="6" spans="1:37" s="219" customFormat="1" ht="15">
      <c r="B6" s="252"/>
      <c r="C6" s="235" t="s">
        <v>1464</v>
      </c>
      <c r="D6" s="3380" t="s">
        <v>978</v>
      </c>
      <c r="E6" s="3386" t="s">
        <v>1088</v>
      </c>
      <c r="F6" s="3382" t="s">
        <v>1089</v>
      </c>
      <c r="G6" s="3382" t="s">
        <v>1090</v>
      </c>
      <c r="H6" s="3378" t="s">
        <v>1091</v>
      </c>
      <c r="I6" s="3386" t="s">
        <v>1092</v>
      </c>
      <c r="J6" s="3382" t="s">
        <v>1093</v>
      </c>
      <c r="K6" s="3382" t="s">
        <v>1094</v>
      </c>
      <c r="L6" s="3378" t="s">
        <v>1095</v>
      </c>
      <c r="M6" s="3386" t="s">
        <v>1110</v>
      </c>
      <c r="N6" s="3382" t="s">
        <v>1111</v>
      </c>
      <c r="O6" s="520" t="s">
        <v>1004</v>
      </c>
      <c r="P6" s="232" t="s">
        <v>941</v>
      </c>
      <c r="Q6" s="521" t="s">
        <v>1465</v>
      </c>
      <c r="R6" s="3384" t="s">
        <v>1112</v>
      </c>
      <c r="S6" s="3378" t="s">
        <v>1113</v>
      </c>
      <c r="T6" s="279"/>
      <c r="U6" s="253"/>
    </row>
    <row r="7" spans="1:37" s="219" customFormat="1">
      <c r="B7" s="252"/>
      <c r="C7" s="235"/>
      <c r="D7" s="3381"/>
      <c r="E7" s="3387"/>
      <c r="F7" s="3383"/>
      <c r="G7" s="3383"/>
      <c r="H7" s="3379"/>
      <c r="I7" s="3387"/>
      <c r="J7" s="3383"/>
      <c r="K7" s="3383"/>
      <c r="L7" s="3379"/>
      <c r="M7" s="3387"/>
      <c r="N7" s="3383"/>
      <c r="O7" s="525"/>
      <c r="P7" s="232" t="s">
        <v>942</v>
      </c>
      <c r="Q7" s="526"/>
      <c r="R7" s="3385"/>
      <c r="S7" s="3379"/>
      <c r="T7" s="279"/>
      <c r="U7" s="253"/>
    </row>
    <row r="8" spans="1:37">
      <c r="A8" s="215"/>
      <c r="B8" s="275"/>
      <c r="C8" s="262"/>
      <c r="D8" s="265"/>
      <c r="E8" s="228"/>
      <c r="F8" s="221"/>
      <c r="G8" s="221"/>
      <c r="H8" s="262"/>
      <c r="I8" s="228"/>
      <c r="J8" s="221"/>
      <c r="K8" s="221"/>
      <c r="L8" s="262"/>
      <c r="M8" s="228"/>
      <c r="N8" s="221"/>
      <c r="O8" s="221"/>
      <c r="P8" s="262"/>
      <c r="Q8" s="228"/>
      <c r="R8" s="221"/>
      <c r="S8" s="262"/>
      <c r="T8" s="265"/>
      <c r="U8" s="271"/>
    </row>
    <row r="9" spans="1:37">
      <c r="A9" s="215"/>
      <c r="B9" s="404" t="s">
        <v>955</v>
      </c>
      <c r="C9" s="321"/>
      <c r="D9" s="266"/>
      <c r="E9" s="220"/>
      <c r="F9" s="216"/>
      <c r="G9" s="216"/>
      <c r="H9" s="261"/>
      <c r="I9" s="220"/>
      <c r="J9" s="216"/>
      <c r="K9" s="216"/>
      <c r="L9" s="261"/>
      <c r="M9" s="220"/>
      <c r="N9" s="216"/>
      <c r="O9" s="216"/>
      <c r="P9" s="261"/>
      <c r="Q9" s="220"/>
      <c r="R9" s="216"/>
      <c r="S9" s="261"/>
      <c r="T9" s="266"/>
      <c r="U9" s="230"/>
    </row>
    <row r="10" spans="1:37" ht="14.25">
      <c r="A10" s="215"/>
      <c r="B10" s="405"/>
      <c r="C10" s="321" t="s">
        <v>1366</v>
      </c>
      <c r="D10" s="355">
        <v>1</v>
      </c>
      <c r="E10" s="353"/>
      <c r="F10" s="354"/>
      <c r="G10" s="354"/>
      <c r="H10" s="360"/>
      <c r="I10" s="353"/>
      <c r="J10" s="354"/>
      <c r="K10" s="354"/>
      <c r="L10" s="360"/>
      <c r="M10" s="353"/>
      <c r="N10" s="354"/>
      <c r="O10" s="354"/>
      <c r="P10" s="360"/>
      <c r="Q10" s="361"/>
      <c r="R10" s="362"/>
      <c r="S10" s="363"/>
      <c r="T10" s="266" t="s">
        <v>1039</v>
      </c>
      <c r="U10" s="230" t="s">
        <v>1040</v>
      </c>
    </row>
    <row r="11" spans="1:37" ht="14.25">
      <c r="A11" s="215"/>
      <c r="B11" s="405"/>
      <c r="C11" s="321" t="s">
        <v>1367</v>
      </c>
      <c r="D11" s="355">
        <f>23+2*Option_A_0_B_1</f>
        <v>25</v>
      </c>
      <c r="E11" s="353"/>
      <c r="F11" s="354"/>
      <c r="G11" s="354"/>
      <c r="H11" s="360"/>
      <c r="I11" s="353"/>
      <c r="J11" s="354"/>
      <c r="K11" s="354"/>
      <c r="L11" s="360"/>
      <c r="M11" s="353"/>
      <c r="N11" s="354"/>
      <c r="O11" s="354"/>
      <c r="P11" s="360"/>
      <c r="Q11" s="361"/>
      <c r="R11" s="362"/>
      <c r="S11" s="363"/>
      <c r="T11" s="266" t="s">
        <v>1039</v>
      </c>
      <c r="U11" s="230" t="s">
        <v>1040</v>
      </c>
    </row>
    <row r="12" spans="1:37" ht="14.25">
      <c r="A12" s="215"/>
      <c r="B12" s="405"/>
      <c r="C12" s="321" t="s">
        <v>1368</v>
      </c>
      <c r="D12" s="355">
        <f>296+2*Option_A_0_B_1</f>
        <v>298</v>
      </c>
      <c r="E12" s="353"/>
      <c r="F12" s="354"/>
      <c r="G12" s="354"/>
      <c r="H12" s="360"/>
      <c r="I12" s="353"/>
      <c r="J12" s="354"/>
      <c r="K12" s="354"/>
      <c r="L12" s="360"/>
      <c r="M12" s="353"/>
      <c r="N12" s="354"/>
      <c r="O12" s="354"/>
      <c r="P12" s="360"/>
      <c r="Q12" s="361"/>
      <c r="R12" s="362"/>
      <c r="S12" s="363"/>
      <c r="T12" s="266" t="s">
        <v>1039</v>
      </c>
      <c r="U12" s="230" t="s">
        <v>1040</v>
      </c>
    </row>
    <row r="13" spans="1:37">
      <c r="A13" s="215"/>
      <c r="B13" s="405"/>
      <c r="C13" s="321"/>
      <c r="D13" s="401"/>
      <c r="E13" s="220"/>
      <c r="F13" s="216"/>
      <c r="G13" s="216"/>
      <c r="H13" s="261"/>
      <c r="I13" s="220"/>
      <c r="J13" s="216"/>
      <c r="K13" s="216"/>
      <c r="L13" s="261"/>
      <c r="M13" s="220"/>
      <c r="N13" s="216"/>
      <c r="O13" s="216"/>
      <c r="P13" s="261"/>
      <c r="Q13" s="220"/>
      <c r="R13" s="216"/>
      <c r="S13" s="261"/>
      <c r="T13" s="269"/>
      <c r="U13" s="230"/>
    </row>
    <row r="14" spans="1:37">
      <c r="A14" s="215"/>
      <c r="B14" s="404" t="s">
        <v>1467</v>
      </c>
      <c r="C14" s="335"/>
      <c r="D14" s="402"/>
      <c r="E14" s="318"/>
      <c r="F14" s="319"/>
      <c r="G14" s="320"/>
      <c r="H14" s="321"/>
      <c r="I14" s="318"/>
      <c r="J14" s="319"/>
      <c r="K14" s="320"/>
      <c r="L14" s="321"/>
      <c r="M14" s="318"/>
      <c r="N14" s="319"/>
      <c r="O14" s="320"/>
      <c r="P14" s="321"/>
      <c r="Q14" s="322"/>
      <c r="R14" s="320"/>
      <c r="S14" s="321"/>
      <c r="T14" s="323"/>
      <c r="U14" s="324"/>
    </row>
    <row r="15" spans="1:37">
      <c r="A15" s="250"/>
      <c r="B15" s="406"/>
      <c r="C15" s="335" t="s">
        <v>980</v>
      </c>
      <c r="D15" s="403"/>
      <c r="E15" s="356">
        <v>2827.0048999999999</v>
      </c>
      <c r="F15" s="357">
        <v>8.6788000000000007</v>
      </c>
      <c r="G15" s="358">
        <v>9.6417999999999999</v>
      </c>
      <c r="H15" s="325">
        <f t="shared" ref="H15:H21" si="0">E15*$D$10+F15*$D$11+G15*$D$12</f>
        <v>5917.2312999999995</v>
      </c>
      <c r="I15" s="353"/>
      <c r="J15" s="354"/>
      <c r="K15" s="354"/>
      <c r="L15" s="360"/>
      <c r="M15" s="359">
        <v>48.990600000000001</v>
      </c>
      <c r="N15" s="354"/>
      <c r="O15" s="354"/>
      <c r="P15" s="360"/>
      <c r="Q15" s="361"/>
      <c r="R15" s="362"/>
      <c r="S15" s="363"/>
      <c r="T15" s="324" t="s">
        <v>1402</v>
      </c>
      <c r="U15" s="324"/>
      <c r="V15" s="103"/>
      <c r="W15" s="103"/>
      <c r="X15" s="103"/>
      <c r="Y15" s="103"/>
      <c r="Z15" s="103"/>
      <c r="AA15" s="103"/>
      <c r="AB15" s="103"/>
      <c r="AC15" s="103"/>
      <c r="AD15" s="103"/>
      <c r="AE15" s="103"/>
      <c r="AF15" s="103"/>
      <c r="AG15" s="103"/>
      <c r="AH15" s="103"/>
      <c r="AI15" s="103"/>
      <c r="AJ15" s="103"/>
      <c r="AK15" s="103"/>
    </row>
    <row r="16" spans="1:37" ht="14.25">
      <c r="A16" s="215"/>
      <c r="B16" s="406"/>
      <c r="C16" s="335" t="s">
        <v>981</v>
      </c>
      <c r="D16" s="403"/>
      <c r="E16" s="356">
        <v>964.88649999999996</v>
      </c>
      <c r="F16" s="357">
        <v>1.331</v>
      </c>
      <c r="G16" s="358">
        <v>5.1499999999999997E-2</v>
      </c>
      <c r="H16" s="325">
        <f t="shared" si="0"/>
        <v>1013.5084999999999</v>
      </c>
      <c r="I16" s="353"/>
      <c r="J16" s="354"/>
      <c r="K16" s="354"/>
      <c r="L16" s="360"/>
      <c r="M16" s="359">
        <v>15.2334</v>
      </c>
      <c r="N16" s="354"/>
      <c r="O16" s="354"/>
      <c r="P16" s="360"/>
      <c r="Q16" s="361"/>
      <c r="R16" s="362"/>
      <c r="S16" s="363"/>
      <c r="T16" s="324" t="s">
        <v>1402</v>
      </c>
      <c r="U16" s="324"/>
    </row>
    <row r="17" spans="1:21" ht="14.25">
      <c r="A17" s="215"/>
      <c r="B17" s="406"/>
      <c r="C17" s="335" t="s">
        <v>982</v>
      </c>
      <c r="D17" s="403"/>
      <c r="E17" s="356">
        <v>536.31089999999995</v>
      </c>
      <c r="F17" s="357">
        <v>1.5709</v>
      </c>
      <c r="G17" s="358">
        <v>1.23E-2</v>
      </c>
      <c r="H17" s="325">
        <f t="shared" si="0"/>
        <v>579.24879999999996</v>
      </c>
      <c r="I17" s="353"/>
      <c r="J17" s="354"/>
      <c r="K17" s="354"/>
      <c r="L17" s="360"/>
      <c r="M17" s="359">
        <v>9.67896</v>
      </c>
      <c r="N17" s="354"/>
      <c r="O17" s="354"/>
      <c r="P17" s="360"/>
      <c r="Q17" s="361"/>
      <c r="R17" s="362"/>
      <c r="S17" s="363"/>
      <c r="T17" s="324" t="s">
        <v>1402</v>
      </c>
      <c r="U17" s="324"/>
    </row>
    <row r="18" spans="1:21">
      <c r="A18" s="215"/>
      <c r="B18" s="406"/>
      <c r="C18" s="335" t="s">
        <v>983</v>
      </c>
      <c r="D18" s="403"/>
      <c r="E18" s="356">
        <v>119.116</v>
      </c>
      <c r="F18" s="357">
        <v>0.21590000000000001</v>
      </c>
      <c r="G18" s="358">
        <v>1.83E-2</v>
      </c>
      <c r="H18" s="325">
        <f t="shared" si="0"/>
        <v>129.96689999999998</v>
      </c>
      <c r="I18" s="353"/>
      <c r="J18" s="354"/>
      <c r="K18" s="354"/>
      <c r="L18" s="360"/>
      <c r="M18" s="359">
        <v>1.9735200000000002</v>
      </c>
      <c r="N18" s="354"/>
      <c r="O18" s="354"/>
      <c r="P18" s="360"/>
      <c r="Q18" s="361"/>
      <c r="R18" s="362"/>
      <c r="S18" s="363"/>
      <c r="T18" s="324" t="s">
        <v>1402</v>
      </c>
      <c r="U18" s="324"/>
    </row>
    <row r="19" spans="1:21">
      <c r="A19" s="215"/>
      <c r="B19" s="406"/>
      <c r="C19" s="317" t="s">
        <v>1410</v>
      </c>
      <c r="D19" s="403"/>
      <c r="E19" s="356">
        <v>9886.5020000000004</v>
      </c>
      <c r="F19" s="357">
        <v>25.527100000000001</v>
      </c>
      <c r="G19" s="358">
        <v>1.6814</v>
      </c>
      <c r="H19" s="325">
        <f t="shared" si="0"/>
        <v>11025.736699999999</v>
      </c>
      <c r="I19" s="353"/>
      <c r="J19" s="354"/>
      <c r="K19" s="354"/>
      <c r="L19" s="360"/>
      <c r="M19" s="359">
        <v>268.39980000000003</v>
      </c>
      <c r="N19" s="354"/>
      <c r="O19" s="354"/>
      <c r="P19" s="360"/>
      <c r="Q19" s="361"/>
      <c r="R19" s="362"/>
      <c r="S19" s="363"/>
      <c r="T19" s="324" t="s">
        <v>1402</v>
      </c>
      <c r="U19" s="324"/>
    </row>
    <row r="20" spans="1:21">
      <c r="A20" s="215"/>
      <c r="B20" s="406"/>
      <c r="C20" s="317" t="s">
        <v>1468</v>
      </c>
      <c r="D20" s="403"/>
      <c r="E20" s="356">
        <v>0</v>
      </c>
      <c r="F20" s="357">
        <v>0</v>
      </c>
      <c r="G20" s="358">
        <v>0</v>
      </c>
      <c r="H20" s="325">
        <f t="shared" si="0"/>
        <v>0</v>
      </c>
      <c r="I20" s="353"/>
      <c r="J20" s="354"/>
      <c r="K20" s="354"/>
      <c r="L20" s="360"/>
      <c r="M20" s="359">
        <v>0</v>
      </c>
      <c r="N20" s="354"/>
      <c r="O20" s="354"/>
      <c r="P20" s="360"/>
      <c r="Q20" s="361"/>
      <c r="R20" s="362"/>
      <c r="S20" s="363"/>
      <c r="T20" s="324" t="s">
        <v>1402</v>
      </c>
      <c r="U20" s="324"/>
    </row>
    <row r="21" spans="1:21">
      <c r="A21" s="215"/>
      <c r="B21" s="406"/>
      <c r="C21" s="317" t="s">
        <v>1469</v>
      </c>
      <c r="D21" s="403"/>
      <c r="E21" s="356">
        <v>412.08109999999999</v>
      </c>
      <c r="F21" s="357">
        <v>0.91269999999999996</v>
      </c>
      <c r="G21" s="358">
        <v>1.0027999999999999</v>
      </c>
      <c r="H21" s="325">
        <f t="shared" si="0"/>
        <v>733.73299999999995</v>
      </c>
      <c r="I21" s="353"/>
      <c r="J21" s="354"/>
      <c r="K21" s="354"/>
      <c r="L21" s="360"/>
      <c r="M21" s="359">
        <v>7.86564</v>
      </c>
      <c r="N21" s="354"/>
      <c r="O21" s="354"/>
      <c r="P21" s="360"/>
      <c r="Q21" s="361"/>
      <c r="R21" s="362"/>
      <c r="S21" s="363"/>
      <c r="T21" s="324" t="s">
        <v>1402</v>
      </c>
      <c r="U21" s="324"/>
    </row>
    <row r="22" spans="1:21">
      <c r="A22" s="215"/>
      <c r="B22" s="406"/>
      <c r="C22" s="317" t="s">
        <v>1470</v>
      </c>
      <c r="D22" s="403"/>
      <c r="E22" s="356">
        <v>0</v>
      </c>
      <c r="F22" s="357">
        <v>0</v>
      </c>
      <c r="G22" s="358">
        <v>0</v>
      </c>
      <c r="H22" s="478">
        <v>0</v>
      </c>
      <c r="I22" s="353"/>
      <c r="J22" s="354"/>
      <c r="K22" s="354"/>
      <c r="L22" s="360"/>
      <c r="M22" s="359">
        <v>0</v>
      </c>
      <c r="N22" s="354"/>
      <c r="O22" s="354"/>
      <c r="P22" s="360"/>
      <c r="Q22" s="361"/>
      <c r="R22" s="362"/>
      <c r="S22" s="363"/>
      <c r="T22" s="324" t="s">
        <v>1402</v>
      </c>
      <c r="U22" s="324"/>
    </row>
    <row r="23" spans="1:21">
      <c r="A23" s="215"/>
      <c r="B23" s="406"/>
      <c r="C23" s="317" t="s">
        <v>1471</v>
      </c>
      <c r="D23" s="403"/>
      <c r="E23" s="356">
        <v>2187.7141000000001</v>
      </c>
      <c r="F23" s="357">
        <v>4.6003999999999996</v>
      </c>
      <c r="G23" s="358">
        <v>4.2119999999999997</v>
      </c>
      <c r="H23" s="325">
        <f>E23*$D$10+F23*$D$11+G23*$D$12</f>
        <v>3557.9001000000003</v>
      </c>
      <c r="I23" s="353"/>
      <c r="J23" s="354"/>
      <c r="K23" s="354"/>
      <c r="L23" s="360"/>
      <c r="M23" s="359">
        <v>36.294119999999999</v>
      </c>
      <c r="N23" s="354"/>
      <c r="O23" s="354"/>
      <c r="P23" s="360"/>
      <c r="Q23" s="361"/>
      <c r="R23" s="362"/>
      <c r="S23" s="363"/>
      <c r="T23" s="324" t="s">
        <v>1402</v>
      </c>
      <c r="U23" s="324"/>
    </row>
    <row r="24" spans="1:21">
      <c r="A24" s="215"/>
      <c r="B24" s="406"/>
      <c r="C24" s="317" t="s">
        <v>1472</v>
      </c>
      <c r="D24" s="403"/>
      <c r="E24" s="356">
        <v>1.6397999999999999</v>
      </c>
      <c r="F24" s="357">
        <v>1E-4</v>
      </c>
      <c r="G24" s="358">
        <v>0</v>
      </c>
      <c r="H24" s="325">
        <f>E24*$D$10+F24*$D$11+G24*$D$12</f>
        <v>1.6422999999999999</v>
      </c>
      <c r="I24" s="353"/>
      <c r="J24" s="354"/>
      <c r="K24" s="354"/>
      <c r="L24" s="360"/>
      <c r="M24" s="359">
        <v>2.1600000000000001E-2</v>
      </c>
      <c r="N24" s="354"/>
      <c r="O24" s="354"/>
      <c r="P24" s="360"/>
      <c r="Q24" s="361"/>
      <c r="R24" s="362"/>
      <c r="S24" s="363"/>
      <c r="T24" s="324" t="s">
        <v>1402</v>
      </c>
      <c r="U24" s="324"/>
    </row>
    <row r="25" spans="1:21">
      <c r="A25" s="215"/>
      <c r="B25" s="406"/>
      <c r="C25" s="317" t="s">
        <v>1473</v>
      </c>
      <c r="D25" s="403"/>
      <c r="E25" s="356">
        <v>412.08109999999999</v>
      </c>
      <c r="F25" s="357">
        <v>0.91269999999999996</v>
      </c>
      <c r="G25" s="358">
        <v>1.0027999999999999</v>
      </c>
      <c r="H25" s="325">
        <f>E25*$D$10+F25*$D$11+G25*$D$12</f>
        <v>733.73299999999995</v>
      </c>
      <c r="I25" s="353"/>
      <c r="J25" s="354"/>
      <c r="K25" s="354"/>
      <c r="L25" s="360"/>
      <c r="M25" s="359">
        <v>7.86564</v>
      </c>
      <c r="N25" s="354"/>
      <c r="O25" s="354"/>
      <c r="P25" s="360"/>
      <c r="Q25" s="361"/>
      <c r="R25" s="362"/>
      <c r="S25" s="363"/>
      <c r="T25" s="324" t="s">
        <v>1402</v>
      </c>
      <c r="U25" s="324"/>
    </row>
    <row r="26" spans="1:21">
      <c r="A26" s="215"/>
      <c r="B26" s="406"/>
      <c r="C26" s="317" t="s">
        <v>1474</v>
      </c>
      <c r="D26" s="403"/>
      <c r="E26" s="356">
        <v>151.0557</v>
      </c>
      <c r="F26" s="357">
        <v>0.27710000000000001</v>
      </c>
      <c r="G26" s="358">
        <v>0.40029999999999999</v>
      </c>
      <c r="H26" s="325">
        <f>E26*$D$10+F26*$D$11+G26*$D$12</f>
        <v>277.27260000000001</v>
      </c>
      <c r="I26" s="353"/>
      <c r="J26" s="354"/>
      <c r="K26" s="354"/>
      <c r="L26" s="360"/>
      <c r="M26" s="359">
        <v>2.6074799999999998</v>
      </c>
      <c r="N26" s="354"/>
      <c r="O26" s="354"/>
      <c r="P26" s="360"/>
      <c r="Q26" s="361"/>
      <c r="R26" s="362"/>
      <c r="S26" s="363"/>
      <c r="T26" s="324" t="s">
        <v>1402</v>
      </c>
      <c r="U26" s="324"/>
    </row>
    <row r="27" spans="1:21">
      <c r="A27" s="215"/>
      <c r="B27" s="405"/>
      <c r="C27" s="321"/>
      <c r="D27" s="402"/>
      <c r="E27" s="443"/>
      <c r="F27" s="454"/>
      <c r="G27" s="467"/>
      <c r="H27" s="479"/>
      <c r="I27" s="322"/>
      <c r="J27" s="320"/>
      <c r="K27" s="320"/>
      <c r="L27" s="321"/>
      <c r="M27" s="502"/>
      <c r="N27" s="320"/>
      <c r="O27" s="320"/>
      <c r="P27" s="321"/>
      <c r="Q27" s="322"/>
      <c r="R27" s="320"/>
      <c r="S27" s="321"/>
      <c r="T27" s="323"/>
      <c r="U27" s="324"/>
    </row>
    <row r="28" spans="1:21">
      <c r="A28" s="215"/>
      <c r="B28" s="404" t="s">
        <v>979</v>
      </c>
      <c r="C28" s="335"/>
      <c r="D28" s="402"/>
      <c r="E28" s="444"/>
      <c r="F28" s="455"/>
      <c r="G28" s="467"/>
      <c r="H28" s="479"/>
      <c r="I28" s="318"/>
      <c r="J28" s="319"/>
      <c r="K28" s="320"/>
      <c r="L28" s="321"/>
      <c r="M28" s="337"/>
      <c r="N28" s="319"/>
      <c r="O28" s="320"/>
      <c r="P28" s="321"/>
      <c r="Q28" s="322"/>
      <c r="R28" s="320"/>
      <c r="S28" s="321"/>
      <c r="T28" s="323"/>
      <c r="U28" s="324"/>
    </row>
    <row r="29" spans="1:21">
      <c r="A29" s="215"/>
      <c r="B29" s="406"/>
      <c r="C29" s="317" t="s">
        <v>1475</v>
      </c>
      <c r="D29" s="403"/>
      <c r="E29" s="356">
        <v>0</v>
      </c>
      <c r="F29" s="357">
        <v>0</v>
      </c>
      <c r="G29" s="358">
        <v>0</v>
      </c>
      <c r="H29" s="325">
        <f>E29*$D$10+F29*$D$11+G29*$D$12</f>
        <v>0</v>
      </c>
      <c r="I29" s="353"/>
      <c r="J29" s="354"/>
      <c r="K29" s="354"/>
      <c r="L29" s="360"/>
      <c r="M29" s="359">
        <v>0</v>
      </c>
      <c r="N29" s="354"/>
      <c r="O29" s="354"/>
      <c r="P29" s="360"/>
      <c r="Q29" s="361"/>
      <c r="R29" s="362"/>
      <c r="S29" s="363"/>
      <c r="T29" s="324"/>
      <c r="U29" s="324"/>
    </row>
    <row r="30" spans="1:21">
      <c r="A30" s="215"/>
      <c r="B30" s="406"/>
      <c r="C30" s="317" t="s">
        <v>973</v>
      </c>
      <c r="D30" s="403"/>
      <c r="E30" s="356">
        <v>0</v>
      </c>
      <c r="F30" s="357">
        <v>0</v>
      </c>
      <c r="G30" s="358">
        <v>0</v>
      </c>
      <c r="H30" s="325">
        <f>E30*$D$10+F30*$D$11+G30*$D$12</f>
        <v>0</v>
      </c>
      <c r="I30" s="353"/>
      <c r="J30" s="354"/>
      <c r="K30" s="354"/>
      <c r="L30" s="360"/>
      <c r="M30" s="359">
        <v>0</v>
      </c>
      <c r="N30" s="354"/>
      <c r="O30" s="354"/>
      <c r="P30" s="360"/>
      <c r="Q30" s="353"/>
      <c r="R30" s="354"/>
      <c r="S30" s="360"/>
      <c r="T30" s="324"/>
      <c r="U30" s="324"/>
    </row>
    <row r="31" spans="1:21">
      <c r="A31" s="215"/>
      <c r="B31" s="406"/>
      <c r="C31" s="317" t="s">
        <v>1411</v>
      </c>
      <c r="D31" s="403"/>
      <c r="E31" s="356">
        <v>0</v>
      </c>
      <c r="F31" s="357">
        <v>0</v>
      </c>
      <c r="G31" s="358">
        <v>0</v>
      </c>
      <c r="H31" s="325">
        <f>E31*$D$10+F31*$D$11+G31*$D$12</f>
        <v>0</v>
      </c>
      <c r="I31" s="353"/>
      <c r="J31" s="354"/>
      <c r="K31" s="354"/>
      <c r="L31" s="360"/>
      <c r="M31" s="359">
        <v>0</v>
      </c>
      <c r="N31" s="354"/>
      <c r="O31" s="354"/>
      <c r="P31" s="374">
        <v>10</v>
      </c>
      <c r="Q31" s="353"/>
      <c r="R31" s="354"/>
      <c r="S31" s="360"/>
      <c r="T31" s="324" t="s">
        <v>1402</v>
      </c>
      <c r="U31" s="324" t="s">
        <v>884</v>
      </c>
    </row>
    <row r="32" spans="1:21">
      <c r="A32" s="215"/>
      <c r="B32" s="406"/>
      <c r="C32" s="317" t="s">
        <v>972</v>
      </c>
      <c r="D32" s="403"/>
      <c r="E32" s="356">
        <v>0</v>
      </c>
      <c r="F32" s="357">
        <v>0</v>
      </c>
      <c r="G32" s="358">
        <v>0</v>
      </c>
      <c r="H32" s="325">
        <f>E32*$D$10+F32*$D$11+G32*$D$12</f>
        <v>0</v>
      </c>
      <c r="I32" s="353"/>
      <c r="J32" s="354"/>
      <c r="K32" s="354"/>
      <c r="L32" s="360"/>
      <c r="M32" s="359">
        <v>0</v>
      </c>
      <c r="N32" s="354"/>
      <c r="O32" s="354"/>
      <c r="P32" s="360"/>
      <c r="Q32" s="353"/>
      <c r="R32" s="354"/>
      <c r="S32" s="360"/>
      <c r="T32" s="324"/>
      <c r="U32" s="324"/>
    </row>
    <row r="33" spans="1:24">
      <c r="A33" s="215"/>
      <c r="B33" s="406"/>
      <c r="C33" s="335"/>
      <c r="D33" s="402"/>
      <c r="E33" s="444"/>
      <c r="F33" s="455"/>
      <c r="G33" s="468"/>
      <c r="H33" s="325"/>
      <c r="I33" s="318"/>
      <c r="J33" s="319"/>
      <c r="K33" s="326"/>
      <c r="L33" s="327"/>
      <c r="M33" s="337"/>
      <c r="N33" s="319"/>
      <c r="O33" s="326"/>
      <c r="P33" s="327"/>
      <c r="Q33" s="322"/>
      <c r="R33" s="320"/>
      <c r="S33" s="321"/>
      <c r="T33" s="324"/>
      <c r="U33" s="324"/>
    </row>
    <row r="34" spans="1:24">
      <c r="A34" s="215"/>
      <c r="B34" s="404" t="s">
        <v>1476</v>
      </c>
      <c r="C34" s="335"/>
      <c r="D34" s="402"/>
      <c r="E34" s="444"/>
      <c r="F34" s="455"/>
      <c r="G34" s="469"/>
      <c r="H34" s="325"/>
      <c r="I34" s="318"/>
      <c r="J34" s="319"/>
      <c r="K34" s="326"/>
      <c r="L34" s="327"/>
      <c r="M34" s="337"/>
      <c r="N34" s="319"/>
      <c r="O34" s="326"/>
      <c r="P34" s="327"/>
      <c r="Q34" s="322"/>
      <c r="R34" s="320"/>
      <c r="S34" s="321"/>
      <c r="T34" s="324"/>
      <c r="U34" s="324"/>
    </row>
    <row r="35" spans="1:24">
      <c r="A35" s="250"/>
      <c r="B35" s="404"/>
      <c r="C35" s="317" t="s">
        <v>1182</v>
      </c>
      <c r="D35" s="403"/>
      <c r="E35" s="445"/>
      <c r="F35" s="456"/>
      <c r="G35" s="470"/>
      <c r="H35" s="480"/>
      <c r="I35" s="359">
        <v>61.575111111111113</v>
      </c>
      <c r="J35" s="358">
        <v>0.19813888888888889</v>
      </c>
      <c r="K35" s="358">
        <v>2.2222222222222223E-4</v>
      </c>
      <c r="L35" s="328">
        <f>I35*$D$10+J35*$D$11+K35*$D$12</f>
        <v>66.594805555555553</v>
      </c>
      <c r="M35" s="490"/>
      <c r="N35" s="358">
        <v>1.1281000000000001</v>
      </c>
      <c r="O35" s="354"/>
      <c r="P35" s="360"/>
      <c r="Q35" s="361"/>
      <c r="R35" s="362"/>
      <c r="S35" s="363"/>
      <c r="T35" s="324" t="s">
        <v>1402</v>
      </c>
      <c r="U35" s="324"/>
    </row>
    <row r="36" spans="1:24">
      <c r="A36" s="250"/>
      <c r="B36" s="404"/>
      <c r="C36" s="317" t="s">
        <v>1183</v>
      </c>
      <c r="D36" s="403"/>
      <c r="E36" s="445"/>
      <c r="F36" s="456"/>
      <c r="G36" s="470"/>
      <c r="H36" s="480"/>
      <c r="I36" s="359">
        <v>62.963999999999999</v>
      </c>
      <c r="J36" s="358">
        <v>0.19813888888888889</v>
      </c>
      <c r="K36" s="358">
        <v>2.2222222222222223E-4</v>
      </c>
      <c r="L36" s="328">
        <f>I36*$D$10+J36*$D$11+K36*$D$12</f>
        <v>67.983694444444438</v>
      </c>
      <c r="M36" s="490"/>
      <c r="N36" s="358">
        <v>1.1281000000000001</v>
      </c>
      <c r="O36" s="354"/>
      <c r="P36" s="360"/>
      <c r="Q36" s="361"/>
      <c r="R36" s="362"/>
      <c r="S36" s="363"/>
      <c r="T36" s="324" t="s">
        <v>1402</v>
      </c>
      <c r="U36" s="324"/>
      <c r="X36" s="215"/>
    </row>
    <row r="37" spans="1:24">
      <c r="A37" s="250"/>
      <c r="B37" s="404"/>
      <c r="C37" s="317" t="s">
        <v>906</v>
      </c>
      <c r="D37" s="403"/>
      <c r="E37" s="445"/>
      <c r="F37" s="456"/>
      <c r="G37" s="470"/>
      <c r="H37" s="480"/>
      <c r="I37" s="353"/>
      <c r="J37" s="354"/>
      <c r="K37" s="354"/>
      <c r="L37" s="360"/>
      <c r="M37" s="490"/>
      <c r="N37" s="354"/>
      <c r="O37" s="354"/>
      <c r="P37" s="374">
        <v>50</v>
      </c>
      <c r="Q37" s="353"/>
      <c r="R37" s="354"/>
      <c r="S37" s="360"/>
      <c r="T37" s="324" t="s">
        <v>1402</v>
      </c>
      <c r="U37" s="324"/>
      <c r="X37" s="215"/>
    </row>
    <row r="38" spans="1:24">
      <c r="A38" s="250"/>
      <c r="B38" s="404"/>
      <c r="C38" s="335"/>
      <c r="D38" s="402"/>
      <c r="E38" s="446"/>
      <c r="F38" s="457"/>
      <c r="G38" s="468"/>
      <c r="H38" s="481"/>
      <c r="I38" s="489"/>
      <c r="J38" s="330"/>
      <c r="K38" s="331"/>
      <c r="L38" s="328"/>
      <c r="M38" s="489"/>
      <c r="N38" s="331"/>
      <c r="O38" s="326"/>
      <c r="P38" s="332"/>
      <c r="Q38" s="322"/>
      <c r="R38" s="320"/>
      <c r="S38" s="321"/>
      <c r="T38" s="324"/>
      <c r="U38" s="324"/>
    </row>
    <row r="39" spans="1:24">
      <c r="A39" s="215"/>
      <c r="B39" s="404" t="s">
        <v>984</v>
      </c>
      <c r="C39" s="335"/>
      <c r="D39" s="402"/>
      <c r="E39" s="444"/>
      <c r="F39" s="455"/>
      <c r="G39" s="468"/>
      <c r="H39" s="478"/>
      <c r="I39" s="337"/>
      <c r="J39" s="471"/>
      <c r="K39" s="468"/>
      <c r="L39" s="328"/>
      <c r="M39" s="337"/>
      <c r="N39" s="471"/>
      <c r="O39" s="326"/>
      <c r="P39" s="333"/>
      <c r="Q39" s="322"/>
      <c r="R39" s="320"/>
      <c r="S39" s="321"/>
      <c r="T39" s="324"/>
      <c r="U39" s="324"/>
    </row>
    <row r="40" spans="1:24">
      <c r="A40" s="215"/>
      <c r="B40" s="406"/>
      <c r="C40" s="335" t="s">
        <v>1413</v>
      </c>
      <c r="D40" s="403"/>
      <c r="E40" s="445"/>
      <c r="F40" s="456"/>
      <c r="G40" s="470"/>
      <c r="H40" s="480"/>
      <c r="I40" s="359">
        <v>87.638888888888886</v>
      </c>
      <c r="J40" s="358">
        <v>0</v>
      </c>
      <c r="K40" s="358">
        <v>0</v>
      </c>
      <c r="L40" s="364">
        <f>I40*$D$10+J40*$D$11+K40*$D$12</f>
        <v>87.638888888888886</v>
      </c>
      <c r="M40" s="490"/>
      <c r="N40" s="358">
        <v>1.1599999999999999</v>
      </c>
      <c r="O40" s="368">
        <v>832</v>
      </c>
      <c r="P40" s="375">
        <v>43.1</v>
      </c>
      <c r="Q40" s="361"/>
      <c r="R40" s="362"/>
      <c r="S40" s="363"/>
      <c r="T40" s="324" t="s">
        <v>1402</v>
      </c>
      <c r="U40" s="324"/>
    </row>
    <row r="41" spans="1:24">
      <c r="A41" s="215"/>
      <c r="B41" s="406"/>
      <c r="C41" s="335" t="s">
        <v>1412</v>
      </c>
      <c r="D41" s="403"/>
      <c r="E41" s="445"/>
      <c r="F41" s="456"/>
      <c r="G41" s="470"/>
      <c r="H41" s="480"/>
      <c r="I41" s="490"/>
      <c r="J41" s="470"/>
      <c r="K41" s="470"/>
      <c r="L41" s="499"/>
      <c r="M41" s="490"/>
      <c r="N41" s="470"/>
      <c r="O41" s="368">
        <v>745</v>
      </c>
      <c r="P41" s="375">
        <v>43.2</v>
      </c>
      <c r="Q41" s="361"/>
      <c r="R41" s="362"/>
      <c r="S41" s="363"/>
      <c r="T41" s="324" t="s">
        <v>1402</v>
      </c>
      <c r="U41" s="324"/>
    </row>
    <row r="42" spans="1:24">
      <c r="A42" s="215"/>
      <c r="B42" s="406"/>
      <c r="C42" s="335" t="s">
        <v>1420</v>
      </c>
      <c r="D42" s="403"/>
      <c r="E42" s="445"/>
      <c r="F42" s="456"/>
      <c r="G42" s="470"/>
      <c r="H42" s="480"/>
      <c r="I42" s="359">
        <v>84.977777777777774</v>
      </c>
      <c r="J42" s="358">
        <v>0</v>
      </c>
      <c r="K42" s="358">
        <v>0</v>
      </c>
      <c r="L42" s="364">
        <f>I42*$D$10+J42*$D$11+K42*$D$12</f>
        <v>84.977777777777774</v>
      </c>
      <c r="M42" s="490"/>
      <c r="N42" s="358">
        <v>1.0880000000000001</v>
      </c>
      <c r="O42" s="368">
        <v>970</v>
      </c>
      <c r="P42" s="375">
        <v>40.5</v>
      </c>
      <c r="Q42" s="361"/>
      <c r="R42" s="362"/>
      <c r="S42" s="363"/>
      <c r="T42" s="324" t="s">
        <v>1402</v>
      </c>
      <c r="U42" s="324"/>
    </row>
    <row r="43" spans="1:24">
      <c r="A43" s="215"/>
      <c r="B43" s="406"/>
      <c r="C43" s="317" t="s">
        <v>944</v>
      </c>
      <c r="D43" s="403"/>
      <c r="E43" s="445"/>
      <c r="F43" s="456"/>
      <c r="G43" s="470"/>
      <c r="H43" s="480"/>
      <c r="I43" s="524">
        <v>87.2</v>
      </c>
      <c r="J43" s="522">
        <v>0</v>
      </c>
      <c r="K43" s="522">
        <v>0</v>
      </c>
      <c r="L43" s="523">
        <v>87.2</v>
      </c>
      <c r="M43" s="490"/>
      <c r="N43" s="522">
        <v>1.0880000000000001</v>
      </c>
      <c r="O43" s="368">
        <v>970</v>
      </c>
      <c r="P43" s="375">
        <v>40.5</v>
      </c>
      <c r="Q43" s="361"/>
      <c r="R43" s="362"/>
      <c r="S43" s="363"/>
      <c r="T43" s="324" t="s">
        <v>1402</v>
      </c>
      <c r="U43" s="324"/>
    </row>
    <row r="44" spans="1:24">
      <c r="A44" s="215"/>
      <c r="B44" s="406"/>
      <c r="C44" s="335" t="s">
        <v>1408</v>
      </c>
      <c r="D44" s="403"/>
      <c r="E44" s="445"/>
      <c r="F44" s="456"/>
      <c r="G44" s="470"/>
      <c r="H44" s="480"/>
      <c r="I44" s="490"/>
      <c r="J44" s="470"/>
      <c r="K44" s="470"/>
      <c r="L44" s="499"/>
      <c r="M44" s="490"/>
      <c r="N44" s="470"/>
      <c r="O44" s="368">
        <v>794</v>
      </c>
      <c r="P44" s="375">
        <v>26.81</v>
      </c>
      <c r="Q44" s="361"/>
      <c r="R44" s="362"/>
      <c r="S44" s="363"/>
      <c r="T44" s="324" t="s">
        <v>1402</v>
      </c>
      <c r="U44" s="324"/>
    </row>
    <row r="45" spans="1:24">
      <c r="A45" s="215"/>
      <c r="B45" s="406"/>
      <c r="C45" s="335" t="s">
        <v>1409</v>
      </c>
      <c r="D45" s="403"/>
      <c r="E45" s="445"/>
      <c r="F45" s="456"/>
      <c r="G45" s="470"/>
      <c r="H45" s="480"/>
      <c r="I45" s="359">
        <v>92.797444444444452</v>
      </c>
      <c r="J45" s="358">
        <v>0.29002777777777777</v>
      </c>
      <c r="K45" s="358">
        <v>3.3333333333333332E-4</v>
      </c>
      <c r="L45" s="364">
        <f>I45*$D$10+J45*$D$11+K45*$D$12</f>
        <v>100.14747222222223</v>
      </c>
      <c r="M45" s="490"/>
      <c r="N45" s="358">
        <v>1.6594</v>
      </c>
      <c r="O45" s="368">
        <v>793</v>
      </c>
      <c r="P45" s="375">
        <v>19.899999999999999</v>
      </c>
      <c r="Q45" s="361"/>
      <c r="R45" s="362"/>
      <c r="S45" s="363"/>
      <c r="T45" s="324" t="s">
        <v>1402</v>
      </c>
      <c r="U45" s="324"/>
    </row>
    <row r="46" spans="1:24">
      <c r="A46" s="215"/>
      <c r="B46" s="406"/>
      <c r="C46" s="335" t="s">
        <v>1479</v>
      </c>
      <c r="D46" s="403"/>
      <c r="E46" s="445"/>
      <c r="F46" s="456"/>
      <c r="G46" s="470"/>
      <c r="H46" s="480"/>
      <c r="I46" s="490"/>
      <c r="J46" s="470"/>
      <c r="K46" s="470"/>
      <c r="L46" s="499"/>
      <c r="M46" s="490"/>
      <c r="N46" s="470"/>
      <c r="O46" s="368">
        <v>890</v>
      </c>
      <c r="P46" s="374">
        <v>37.200000000000003</v>
      </c>
      <c r="Q46" s="361"/>
      <c r="R46" s="362"/>
      <c r="S46" s="363"/>
      <c r="T46" s="324" t="s">
        <v>1402</v>
      </c>
      <c r="U46" s="324" t="s">
        <v>1480</v>
      </c>
    </row>
    <row r="47" spans="1:24">
      <c r="A47" s="215"/>
      <c r="B47" s="406"/>
      <c r="C47" s="335" t="s">
        <v>1034</v>
      </c>
      <c r="D47" s="403"/>
      <c r="E47" s="445"/>
      <c r="F47" s="456"/>
      <c r="G47" s="470"/>
      <c r="H47" s="480"/>
      <c r="I47" s="490"/>
      <c r="J47" s="470"/>
      <c r="K47" s="470"/>
      <c r="L47" s="499"/>
      <c r="M47" s="490"/>
      <c r="N47" s="470"/>
      <c r="O47" s="368">
        <v>780</v>
      </c>
      <c r="P47" s="374">
        <v>44</v>
      </c>
      <c r="Q47" s="361"/>
      <c r="R47" s="362"/>
      <c r="S47" s="363"/>
      <c r="T47" s="324" t="s">
        <v>1402</v>
      </c>
      <c r="U47" s="324"/>
    </row>
    <row r="48" spans="1:24">
      <c r="A48" s="215"/>
      <c r="B48" s="406"/>
      <c r="C48" s="335" t="s">
        <v>1119</v>
      </c>
      <c r="D48" s="403"/>
      <c r="E48" s="445"/>
      <c r="F48" s="456"/>
      <c r="G48" s="470"/>
      <c r="H48" s="480"/>
      <c r="I48" s="490"/>
      <c r="J48" s="470"/>
      <c r="K48" s="470"/>
      <c r="L48" s="499"/>
      <c r="M48" s="490"/>
      <c r="N48" s="470"/>
      <c r="O48" s="368">
        <v>780</v>
      </c>
      <c r="P48" s="374">
        <v>44</v>
      </c>
      <c r="Q48" s="361"/>
      <c r="R48" s="362"/>
      <c r="S48" s="363"/>
      <c r="T48" s="324" t="s">
        <v>1402</v>
      </c>
      <c r="U48" s="324"/>
    </row>
    <row r="49" spans="1:22">
      <c r="A49" s="215"/>
      <c r="B49" s="406"/>
      <c r="C49" s="335" t="s">
        <v>1060</v>
      </c>
      <c r="D49" s="403"/>
      <c r="E49" s="554"/>
      <c r="F49" s="555"/>
      <c r="G49" s="470"/>
      <c r="H49" s="480"/>
      <c r="I49" s="556"/>
      <c r="J49" s="557"/>
      <c r="K49" s="470"/>
      <c r="L49" s="499"/>
      <c r="M49" s="556"/>
      <c r="N49" s="557"/>
      <c r="O49" s="354"/>
      <c r="P49" s="374">
        <v>36</v>
      </c>
      <c r="Q49" s="353"/>
      <c r="R49" s="354"/>
      <c r="S49" s="360"/>
      <c r="T49" s="324"/>
      <c r="U49" s="324"/>
    </row>
    <row r="50" spans="1:22">
      <c r="A50" s="215"/>
      <c r="B50" s="406"/>
      <c r="C50" s="335"/>
      <c r="D50" s="402"/>
      <c r="E50" s="447"/>
      <c r="F50" s="458"/>
      <c r="G50" s="471"/>
      <c r="H50" s="481"/>
      <c r="I50" s="334"/>
      <c r="J50" s="497"/>
      <c r="K50" s="471"/>
      <c r="L50" s="336"/>
      <c r="M50" s="334"/>
      <c r="N50" s="497"/>
      <c r="O50" s="319"/>
      <c r="P50" s="335"/>
      <c r="Q50" s="322"/>
      <c r="R50" s="320"/>
      <c r="S50" s="321"/>
      <c r="T50" s="324"/>
      <c r="U50" s="324"/>
    </row>
    <row r="51" spans="1:22">
      <c r="A51" s="250"/>
      <c r="B51" s="404" t="s">
        <v>1481</v>
      </c>
      <c r="C51" s="335"/>
      <c r="D51" s="402"/>
      <c r="E51" s="444"/>
      <c r="F51" s="455"/>
      <c r="G51" s="471"/>
      <c r="H51" s="482"/>
      <c r="I51" s="337"/>
      <c r="J51" s="471"/>
      <c r="K51" s="471"/>
      <c r="L51" s="336"/>
      <c r="M51" s="337"/>
      <c r="N51" s="471"/>
      <c r="O51" s="319"/>
      <c r="P51" s="335"/>
      <c r="Q51" s="322"/>
      <c r="R51" s="320"/>
      <c r="S51" s="321"/>
      <c r="T51" s="324"/>
      <c r="U51" s="324"/>
    </row>
    <row r="52" spans="1:22">
      <c r="A52" s="215"/>
      <c r="B52" s="404"/>
      <c r="C52" s="335" t="s">
        <v>1482</v>
      </c>
      <c r="D52" s="403"/>
      <c r="E52" s="445"/>
      <c r="F52" s="456"/>
      <c r="G52" s="470"/>
      <c r="H52" s="480"/>
      <c r="I52" s="359">
        <v>102.38424999999999</v>
      </c>
      <c r="J52" s="358">
        <v>0.3835277777777778</v>
      </c>
      <c r="K52" s="358">
        <v>2.5000000000000001E-4</v>
      </c>
      <c r="L52" s="328">
        <f>I52*$D$10+J52*$D$11+K52*$D$12</f>
        <v>112.04694444444443</v>
      </c>
      <c r="M52" s="490"/>
      <c r="N52" s="358">
        <v>1.0885999999999998</v>
      </c>
      <c r="O52" s="354"/>
      <c r="P52" s="374">
        <v>26.532</v>
      </c>
      <c r="Q52" s="361"/>
      <c r="R52" s="362"/>
      <c r="S52" s="363"/>
      <c r="T52" s="324" t="s">
        <v>1402</v>
      </c>
      <c r="U52" s="338"/>
      <c r="V52" s="104"/>
    </row>
    <row r="53" spans="1:22">
      <c r="A53" s="215"/>
      <c r="B53" s="404"/>
      <c r="C53" s="335" t="s">
        <v>1442</v>
      </c>
      <c r="D53" s="403"/>
      <c r="E53" s="445"/>
      <c r="F53" s="456"/>
      <c r="G53" s="470"/>
      <c r="H53" s="480"/>
      <c r="I53" s="359">
        <v>116.75711111111112</v>
      </c>
      <c r="J53" s="358">
        <v>9.0555555555555545E-3</v>
      </c>
      <c r="K53" s="358">
        <v>5.5555555555555558E-5</v>
      </c>
      <c r="L53" s="328">
        <f>I53*$D$10+J53*$D$11+K53*$D$12</f>
        <v>117.00005555555556</v>
      </c>
      <c r="M53" s="490"/>
      <c r="N53" s="358">
        <v>1.0155999999999998</v>
      </c>
      <c r="O53" s="354"/>
      <c r="P53" s="374">
        <v>9.234</v>
      </c>
      <c r="Q53" s="361"/>
      <c r="R53" s="362"/>
      <c r="S53" s="363"/>
      <c r="T53" s="324" t="s">
        <v>1402</v>
      </c>
      <c r="U53" s="324"/>
    </row>
    <row r="54" spans="1:22">
      <c r="A54" s="215"/>
      <c r="B54" s="404"/>
      <c r="C54" s="335" t="s">
        <v>1435</v>
      </c>
      <c r="D54" s="403"/>
      <c r="E54" s="445"/>
      <c r="F54" s="456"/>
      <c r="G54" s="470"/>
      <c r="H54" s="480"/>
      <c r="I54" s="490"/>
      <c r="J54" s="470"/>
      <c r="K54" s="470"/>
      <c r="L54" s="499"/>
      <c r="M54" s="490"/>
      <c r="N54" s="470"/>
      <c r="O54" s="354"/>
      <c r="P54" s="375">
        <v>18.5</v>
      </c>
      <c r="Q54" s="361"/>
      <c r="R54" s="362"/>
      <c r="S54" s="363"/>
      <c r="T54" s="324" t="s">
        <v>1402</v>
      </c>
      <c r="U54" s="324"/>
    </row>
    <row r="55" spans="1:22">
      <c r="A55" s="215"/>
      <c r="B55" s="406"/>
      <c r="C55" s="335" t="s">
        <v>1446</v>
      </c>
      <c r="D55" s="403"/>
      <c r="E55" s="445"/>
      <c r="F55" s="456"/>
      <c r="G55" s="470"/>
      <c r="H55" s="480"/>
      <c r="I55" s="490"/>
      <c r="J55" s="470"/>
      <c r="K55" s="470"/>
      <c r="L55" s="499"/>
      <c r="M55" s="490"/>
      <c r="N55" s="470"/>
      <c r="O55" s="354"/>
      <c r="P55" s="374">
        <v>24</v>
      </c>
      <c r="Q55" s="361"/>
      <c r="R55" s="362"/>
      <c r="S55" s="363"/>
      <c r="T55" s="324" t="s">
        <v>1402</v>
      </c>
      <c r="U55" s="324"/>
    </row>
    <row r="56" spans="1:22">
      <c r="A56" s="215"/>
      <c r="B56" s="406"/>
      <c r="C56" s="335" t="s">
        <v>1416</v>
      </c>
      <c r="D56" s="403"/>
      <c r="E56" s="445"/>
      <c r="F56" s="456"/>
      <c r="G56" s="470"/>
      <c r="H56" s="480"/>
      <c r="I56" s="490"/>
      <c r="J56" s="470"/>
      <c r="K56" s="470"/>
      <c r="L56" s="499"/>
      <c r="M56" s="490"/>
      <c r="N56" s="470"/>
      <c r="O56" s="354"/>
      <c r="P56" s="375">
        <v>26.4</v>
      </c>
      <c r="Q56" s="361"/>
      <c r="R56" s="362"/>
      <c r="S56" s="363"/>
      <c r="T56" s="324" t="s">
        <v>1402</v>
      </c>
      <c r="U56" s="324"/>
    </row>
    <row r="57" spans="1:22">
      <c r="A57" s="215"/>
      <c r="B57" s="406"/>
      <c r="C57" s="335" t="s">
        <v>1445</v>
      </c>
      <c r="D57" s="403"/>
      <c r="E57" s="445"/>
      <c r="F57" s="456"/>
      <c r="G57" s="470"/>
      <c r="H57" s="480"/>
      <c r="I57" s="490"/>
      <c r="J57" s="470"/>
      <c r="K57" s="470"/>
      <c r="L57" s="499"/>
      <c r="M57" s="490"/>
      <c r="N57" s="470"/>
      <c r="O57" s="354"/>
      <c r="P57" s="374">
        <v>23.529411764705884</v>
      </c>
      <c r="Q57" s="361"/>
      <c r="R57" s="362"/>
      <c r="S57" s="363"/>
      <c r="T57" s="324" t="s">
        <v>1402</v>
      </c>
      <c r="U57" s="324"/>
    </row>
    <row r="58" spans="1:22">
      <c r="A58" s="215"/>
      <c r="B58" s="406"/>
      <c r="C58" s="335" t="s">
        <v>1346</v>
      </c>
      <c r="D58" s="403"/>
      <c r="E58" s="445"/>
      <c r="F58" s="456"/>
      <c r="G58" s="470"/>
      <c r="H58" s="480"/>
      <c r="I58" s="490"/>
      <c r="J58" s="470"/>
      <c r="K58" s="470"/>
      <c r="L58" s="499"/>
      <c r="M58" s="490"/>
      <c r="N58" s="470"/>
      <c r="O58" s="354"/>
      <c r="P58" s="374">
        <v>16.3</v>
      </c>
      <c r="Q58" s="361"/>
      <c r="R58" s="362"/>
      <c r="S58" s="363"/>
      <c r="T58" s="324" t="s">
        <v>1402</v>
      </c>
      <c r="U58" s="324"/>
    </row>
    <row r="59" spans="1:22">
      <c r="A59" s="215"/>
      <c r="B59" s="406"/>
      <c r="C59" s="335" t="s">
        <v>1424</v>
      </c>
      <c r="D59" s="403"/>
      <c r="E59" s="445"/>
      <c r="F59" s="456"/>
      <c r="G59" s="470"/>
      <c r="H59" s="480"/>
      <c r="I59" s="490"/>
      <c r="J59" s="470"/>
      <c r="K59" s="470"/>
      <c r="L59" s="499"/>
      <c r="M59" s="490"/>
      <c r="N59" s="470"/>
      <c r="O59" s="354"/>
      <c r="P59" s="375">
        <v>19.600000000000001</v>
      </c>
      <c r="Q59" s="361"/>
      <c r="R59" s="362"/>
      <c r="S59" s="363"/>
      <c r="T59" s="324" t="s">
        <v>1402</v>
      </c>
      <c r="U59" s="324"/>
    </row>
    <row r="60" spans="1:22">
      <c r="A60" s="215"/>
      <c r="B60" s="406"/>
      <c r="C60" s="335" t="s">
        <v>1347</v>
      </c>
      <c r="D60" s="403"/>
      <c r="E60" s="445"/>
      <c r="F60" s="456"/>
      <c r="G60" s="470"/>
      <c r="H60" s="480"/>
      <c r="I60" s="490"/>
      <c r="J60" s="470"/>
      <c r="K60" s="470"/>
      <c r="L60" s="499"/>
      <c r="M60" s="490"/>
      <c r="N60" s="470"/>
      <c r="O60" s="354"/>
      <c r="P60" s="375">
        <v>26.4</v>
      </c>
      <c r="Q60" s="361"/>
      <c r="R60" s="362"/>
      <c r="S60" s="363"/>
      <c r="T60" s="324" t="s">
        <v>1402</v>
      </c>
      <c r="U60" s="324"/>
    </row>
    <row r="61" spans="1:22">
      <c r="A61" s="215"/>
      <c r="B61" s="406"/>
      <c r="C61" s="335" t="s">
        <v>1440</v>
      </c>
      <c r="D61" s="403"/>
      <c r="E61" s="445"/>
      <c r="F61" s="456"/>
      <c r="G61" s="470"/>
      <c r="H61" s="480"/>
      <c r="I61" s="490"/>
      <c r="J61" s="470"/>
      <c r="K61" s="470"/>
      <c r="L61" s="499"/>
      <c r="M61" s="490"/>
      <c r="N61" s="470"/>
      <c r="O61" s="354"/>
      <c r="P61" s="374">
        <v>17</v>
      </c>
      <c r="Q61" s="361"/>
      <c r="R61" s="362"/>
      <c r="S61" s="363"/>
      <c r="T61" s="324" t="s">
        <v>1402</v>
      </c>
      <c r="U61" s="324"/>
    </row>
    <row r="62" spans="1:22">
      <c r="A62" s="215"/>
      <c r="B62" s="406"/>
      <c r="C62" s="335" t="s">
        <v>929</v>
      </c>
      <c r="D62" s="403"/>
      <c r="E62" s="445"/>
      <c r="F62" s="456"/>
      <c r="G62" s="470"/>
      <c r="H62" s="480"/>
      <c r="I62" s="490"/>
      <c r="J62" s="470"/>
      <c r="K62" s="470"/>
      <c r="L62" s="499"/>
      <c r="M62" s="490"/>
      <c r="N62" s="470"/>
      <c r="O62" s="354"/>
      <c r="P62" s="375">
        <v>37.1</v>
      </c>
      <c r="Q62" s="361"/>
      <c r="R62" s="362"/>
      <c r="S62" s="363"/>
      <c r="T62" s="324" t="s">
        <v>1402</v>
      </c>
      <c r="U62" s="324"/>
    </row>
    <row r="63" spans="1:22">
      <c r="A63" s="215"/>
      <c r="B63" s="406"/>
      <c r="C63" s="335" t="s">
        <v>1348</v>
      </c>
      <c r="D63" s="403"/>
      <c r="E63" s="445"/>
      <c r="F63" s="456"/>
      <c r="G63" s="470"/>
      <c r="H63" s="480"/>
      <c r="I63" s="490"/>
      <c r="J63" s="470"/>
      <c r="K63" s="470"/>
      <c r="L63" s="499"/>
      <c r="M63" s="490"/>
      <c r="N63" s="470"/>
      <c r="O63" s="354"/>
      <c r="P63" s="375">
        <v>21.8</v>
      </c>
      <c r="Q63" s="361"/>
      <c r="R63" s="362"/>
      <c r="S63" s="363"/>
      <c r="T63" s="324" t="s">
        <v>1402</v>
      </c>
      <c r="U63" s="324"/>
    </row>
    <row r="64" spans="1:22">
      <c r="A64" s="215"/>
      <c r="B64" s="406"/>
      <c r="C64" s="335" t="s">
        <v>1443</v>
      </c>
      <c r="D64" s="403"/>
      <c r="E64" s="445"/>
      <c r="F64" s="456"/>
      <c r="G64" s="470"/>
      <c r="H64" s="480"/>
      <c r="I64" s="490"/>
      <c r="J64" s="470"/>
      <c r="K64" s="470"/>
      <c r="L64" s="499"/>
      <c r="M64" s="490"/>
      <c r="N64" s="470"/>
      <c r="O64" s="354"/>
      <c r="P64" s="374">
        <v>36</v>
      </c>
      <c r="Q64" s="361"/>
      <c r="R64" s="362"/>
      <c r="S64" s="363"/>
      <c r="T64" s="324" t="s">
        <v>1402</v>
      </c>
      <c r="U64" s="324"/>
    </row>
    <row r="65" spans="1:21">
      <c r="A65" s="215"/>
      <c r="B65" s="406"/>
      <c r="C65" s="317" t="s">
        <v>943</v>
      </c>
      <c r="D65" s="403"/>
      <c r="E65" s="445"/>
      <c r="F65" s="456"/>
      <c r="G65" s="470"/>
      <c r="H65" s="480"/>
      <c r="I65" s="490"/>
      <c r="J65" s="470"/>
      <c r="K65" s="470"/>
      <c r="L65" s="499"/>
      <c r="M65" s="490"/>
      <c r="N65" s="470"/>
      <c r="O65" s="354"/>
      <c r="P65" s="374">
        <v>16</v>
      </c>
      <c r="Q65" s="361"/>
      <c r="R65" s="362"/>
      <c r="S65" s="363"/>
      <c r="T65" s="324" t="s">
        <v>1402</v>
      </c>
      <c r="U65" s="324"/>
    </row>
    <row r="66" spans="1:21">
      <c r="A66" s="215"/>
      <c r="B66" s="406"/>
      <c r="C66" s="335" t="s">
        <v>1441</v>
      </c>
      <c r="D66" s="403"/>
      <c r="E66" s="445"/>
      <c r="F66" s="456"/>
      <c r="G66" s="470"/>
      <c r="H66" s="480"/>
      <c r="I66" s="490"/>
      <c r="J66" s="470"/>
      <c r="K66" s="470"/>
      <c r="L66" s="499"/>
      <c r="M66" s="490"/>
      <c r="N66" s="470"/>
      <c r="O66" s="354"/>
      <c r="P66" s="374">
        <v>16</v>
      </c>
      <c r="Q66" s="361"/>
      <c r="R66" s="362"/>
      <c r="S66" s="363"/>
      <c r="T66" s="324" t="s">
        <v>1402</v>
      </c>
      <c r="U66" s="324"/>
    </row>
    <row r="67" spans="1:21">
      <c r="A67" s="215"/>
      <c r="B67" s="406"/>
      <c r="C67" s="335" t="s">
        <v>1448</v>
      </c>
      <c r="D67" s="403"/>
      <c r="E67" s="445"/>
      <c r="F67" s="456"/>
      <c r="G67" s="470"/>
      <c r="H67" s="480"/>
      <c r="I67" s="490"/>
      <c r="J67" s="470"/>
      <c r="K67" s="470"/>
      <c r="L67" s="499"/>
      <c r="M67" s="490"/>
      <c r="N67" s="470"/>
      <c r="O67" s="354"/>
      <c r="P67" s="374">
        <v>17</v>
      </c>
      <c r="Q67" s="361"/>
      <c r="R67" s="362"/>
      <c r="S67" s="363"/>
      <c r="T67" s="324" t="s">
        <v>1402</v>
      </c>
      <c r="U67" s="324"/>
    </row>
    <row r="68" spans="1:21">
      <c r="A68" s="215"/>
      <c r="B68" s="406"/>
      <c r="C68" s="335" t="s">
        <v>1447</v>
      </c>
      <c r="D68" s="403"/>
      <c r="E68" s="445"/>
      <c r="F68" s="456"/>
      <c r="G68" s="470"/>
      <c r="H68" s="480"/>
      <c r="I68" s="490"/>
      <c r="J68" s="470"/>
      <c r="K68" s="470"/>
      <c r="L68" s="499"/>
      <c r="M68" s="490"/>
      <c r="N68" s="470"/>
      <c r="O68" s="354"/>
      <c r="P68" s="374">
        <v>37</v>
      </c>
      <c r="Q68" s="361"/>
      <c r="R68" s="362"/>
      <c r="S68" s="363"/>
      <c r="T68" s="324" t="s">
        <v>1402</v>
      </c>
      <c r="U68" s="324"/>
    </row>
    <row r="69" spans="1:21">
      <c r="A69" s="215"/>
      <c r="B69" s="406"/>
      <c r="C69" s="396" t="s">
        <v>1349</v>
      </c>
      <c r="D69" s="403"/>
      <c r="E69" s="445"/>
      <c r="F69" s="456"/>
      <c r="G69" s="470"/>
      <c r="H69" s="480"/>
      <c r="I69" s="490"/>
      <c r="J69" s="470"/>
      <c r="K69" s="470"/>
      <c r="L69" s="499"/>
      <c r="M69" s="490"/>
      <c r="N69" s="470"/>
      <c r="O69" s="354"/>
      <c r="P69" s="374">
        <v>18.649999999999999</v>
      </c>
      <c r="Q69" s="361"/>
      <c r="R69" s="362"/>
      <c r="S69" s="363"/>
      <c r="T69" s="324" t="s">
        <v>1402</v>
      </c>
      <c r="U69" s="324"/>
    </row>
    <row r="70" spans="1:21">
      <c r="A70" s="215"/>
      <c r="B70" s="406"/>
      <c r="C70" s="335" t="s">
        <v>1444</v>
      </c>
      <c r="D70" s="403"/>
      <c r="E70" s="445"/>
      <c r="F70" s="456"/>
      <c r="G70" s="470"/>
      <c r="H70" s="480"/>
      <c r="I70" s="490"/>
      <c r="J70" s="470"/>
      <c r="K70" s="470"/>
      <c r="L70" s="499"/>
      <c r="M70" s="490"/>
      <c r="N70" s="470"/>
      <c r="O70" s="354"/>
      <c r="P70" s="375">
        <v>36.6</v>
      </c>
      <c r="Q70" s="361"/>
      <c r="R70" s="362"/>
      <c r="S70" s="363"/>
      <c r="T70" s="324" t="s">
        <v>1402</v>
      </c>
      <c r="U70" s="324"/>
    </row>
    <row r="71" spans="1:21">
      <c r="A71" s="215"/>
      <c r="B71" s="406"/>
      <c r="C71" s="396" t="s">
        <v>1350</v>
      </c>
      <c r="D71" s="403"/>
      <c r="E71" s="445"/>
      <c r="F71" s="456"/>
      <c r="G71" s="470"/>
      <c r="H71" s="480"/>
      <c r="I71" s="490"/>
      <c r="J71" s="470"/>
      <c r="K71" s="470"/>
      <c r="L71" s="499"/>
      <c r="M71" s="490"/>
      <c r="N71" s="470"/>
      <c r="O71" s="354"/>
      <c r="P71" s="376" t="s">
        <v>1035</v>
      </c>
      <c r="Q71" s="361"/>
      <c r="R71" s="362"/>
      <c r="S71" s="363"/>
      <c r="T71" s="324" t="s">
        <v>1402</v>
      </c>
      <c r="U71" s="338" t="s">
        <v>1036</v>
      </c>
    </row>
    <row r="72" spans="1:21">
      <c r="A72" s="215"/>
      <c r="B72" s="406"/>
      <c r="C72" s="335" t="s">
        <v>1351</v>
      </c>
      <c r="D72" s="403"/>
      <c r="E72" s="445"/>
      <c r="F72" s="456"/>
      <c r="G72" s="470"/>
      <c r="H72" s="480"/>
      <c r="I72" s="490"/>
      <c r="J72" s="470"/>
      <c r="K72" s="470"/>
      <c r="L72" s="499"/>
      <c r="M72" s="490"/>
      <c r="N72" s="470"/>
      <c r="O72" s="354"/>
      <c r="P72" s="375">
        <v>15.6</v>
      </c>
      <c r="Q72" s="361"/>
      <c r="R72" s="362"/>
      <c r="S72" s="363"/>
      <c r="T72" s="324" t="s">
        <v>1402</v>
      </c>
      <c r="U72" s="324"/>
    </row>
    <row r="73" spans="1:21">
      <c r="A73" s="215"/>
      <c r="B73" s="406"/>
      <c r="C73" s="335" t="s">
        <v>1352</v>
      </c>
      <c r="D73" s="403"/>
      <c r="E73" s="445"/>
      <c r="F73" s="456"/>
      <c r="G73" s="470"/>
      <c r="H73" s="480"/>
      <c r="I73" s="490"/>
      <c r="J73" s="470"/>
      <c r="K73" s="470"/>
      <c r="L73" s="499"/>
      <c r="M73" s="490"/>
      <c r="N73" s="470"/>
      <c r="O73" s="354"/>
      <c r="P73" s="375">
        <v>15.6</v>
      </c>
      <c r="Q73" s="361"/>
      <c r="R73" s="362"/>
      <c r="S73" s="363"/>
      <c r="T73" s="324" t="s">
        <v>1402</v>
      </c>
      <c r="U73" s="324"/>
    </row>
    <row r="74" spans="1:21">
      <c r="A74" s="215"/>
      <c r="B74" s="406"/>
      <c r="C74" s="335" t="s">
        <v>1422</v>
      </c>
      <c r="D74" s="403"/>
      <c r="E74" s="445"/>
      <c r="F74" s="456"/>
      <c r="G74" s="470"/>
      <c r="H74" s="480"/>
      <c r="I74" s="359">
        <v>1.7515833333333333</v>
      </c>
      <c r="J74" s="358">
        <v>1.3333333333333333E-3</v>
      </c>
      <c r="K74" s="358">
        <v>5.5555555555555558E-5</v>
      </c>
      <c r="L74" s="328">
        <f>I74*$D$10+J74*$D$11+K74*$D$12</f>
        <v>1.8014722222222224</v>
      </c>
      <c r="M74" s="490"/>
      <c r="N74" s="358">
        <v>2.5400000000000002E-2</v>
      </c>
      <c r="O74" s="354"/>
      <c r="P74" s="375">
        <v>17.2</v>
      </c>
      <c r="Q74" s="361"/>
      <c r="R74" s="362"/>
      <c r="S74" s="363"/>
      <c r="T74" s="324" t="s">
        <v>1402</v>
      </c>
      <c r="U74" s="338" t="s">
        <v>1403</v>
      </c>
    </row>
    <row r="75" spans="1:21">
      <c r="A75" s="215"/>
      <c r="B75" s="406"/>
      <c r="C75" s="335"/>
      <c r="D75" s="402"/>
      <c r="E75" s="444"/>
      <c r="F75" s="455"/>
      <c r="G75" s="468"/>
      <c r="H75" s="482"/>
      <c r="I75" s="337"/>
      <c r="J75" s="471"/>
      <c r="K75" s="468"/>
      <c r="L75" s="336"/>
      <c r="M75" s="337"/>
      <c r="N75" s="471"/>
      <c r="O75" s="326"/>
      <c r="P75" s="335"/>
      <c r="Q75" s="322"/>
      <c r="R75" s="320"/>
      <c r="S75" s="321"/>
      <c r="T75" s="324"/>
      <c r="U75" s="324"/>
    </row>
    <row r="76" spans="1:21">
      <c r="A76" s="250"/>
      <c r="B76" s="404" t="s">
        <v>1353</v>
      </c>
      <c r="C76" s="335"/>
      <c r="D76" s="402"/>
      <c r="E76" s="444"/>
      <c r="F76" s="455"/>
      <c r="G76" s="471"/>
      <c r="H76" s="482"/>
      <c r="I76" s="337"/>
      <c r="J76" s="471"/>
      <c r="K76" s="471"/>
      <c r="L76" s="336"/>
      <c r="M76" s="337"/>
      <c r="N76" s="471"/>
      <c r="O76" s="319"/>
      <c r="P76" s="335"/>
      <c r="Q76" s="322"/>
      <c r="R76" s="320"/>
      <c r="S76" s="321"/>
      <c r="T76" s="324"/>
      <c r="U76" s="324"/>
    </row>
    <row r="77" spans="1:21">
      <c r="A77" s="215"/>
      <c r="B77" s="404"/>
      <c r="C77" s="335" t="s">
        <v>1372</v>
      </c>
      <c r="D77" s="403"/>
      <c r="E77" s="448"/>
      <c r="F77" s="459"/>
      <c r="G77" s="472"/>
      <c r="H77" s="483"/>
      <c r="I77" s="359">
        <v>119.36216666666667</v>
      </c>
      <c r="J77" s="358">
        <v>0.29108333333333336</v>
      </c>
      <c r="K77" s="358">
        <v>5.3888888888888892E-3</v>
      </c>
      <c r="L77" s="328">
        <f>I77*$D$10+J77*$D$11+K77*$D$12</f>
        <v>128.2451388888889</v>
      </c>
      <c r="M77" s="491"/>
      <c r="N77" s="358">
        <v>2.6951000000000001</v>
      </c>
      <c r="O77" s="366"/>
      <c r="P77" s="367"/>
      <c r="Q77" s="361"/>
      <c r="R77" s="362"/>
      <c r="S77" s="363"/>
      <c r="T77" s="324" t="s">
        <v>1402</v>
      </c>
      <c r="U77" s="324"/>
    </row>
    <row r="78" spans="1:21">
      <c r="A78" s="215"/>
      <c r="B78" s="404"/>
      <c r="C78" s="335" t="s">
        <v>1371</v>
      </c>
      <c r="D78" s="403"/>
      <c r="E78" s="448"/>
      <c r="F78" s="459"/>
      <c r="G78" s="472"/>
      <c r="H78" s="483"/>
      <c r="I78" s="359">
        <v>120.7945</v>
      </c>
      <c r="J78" s="358">
        <v>0.29458333333333331</v>
      </c>
      <c r="K78" s="358">
        <v>5.4722222222222221E-3</v>
      </c>
      <c r="L78" s="328">
        <f>I78*$D$10+J78*$D$11+K78*$D$12</f>
        <v>129.78980555555557</v>
      </c>
      <c r="M78" s="491"/>
      <c r="N78" s="358">
        <v>2.7275</v>
      </c>
      <c r="O78" s="366"/>
      <c r="P78" s="367"/>
      <c r="Q78" s="361"/>
      <c r="R78" s="362"/>
      <c r="S78" s="363"/>
      <c r="T78" s="324" t="s">
        <v>1402</v>
      </c>
      <c r="U78" s="324"/>
    </row>
    <row r="79" spans="1:21">
      <c r="A79" s="215"/>
      <c r="B79" s="406"/>
      <c r="C79" s="335"/>
      <c r="D79" s="402"/>
      <c r="E79" s="444"/>
      <c r="F79" s="455"/>
      <c r="G79" s="471"/>
      <c r="H79" s="482"/>
      <c r="I79" s="337"/>
      <c r="J79" s="471"/>
      <c r="K79" s="471"/>
      <c r="L79" s="328"/>
      <c r="M79" s="337"/>
      <c r="N79" s="471"/>
      <c r="O79" s="319"/>
      <c r="P79" s="335"/>
      <c r="Q79" s="322"/>
      <c r="R79" s="320"/>
      <c r="S79" s="321"/>
      <c r="T79" s="324"/>
      <c r="U79" s="324"/>
    </row>
    <row r="80" spans="1:21">
      <c r="A80" s="250"/>
      <c r="B80" s="404" t="s">
        <v>1354</v>
      </c>
      <c r="C80" s="335"/>
      <c r="D80" s="402"/>
      <c r="E80" s="444"/>
      <c r="F80" s="455"/>
      <c r="G80" s="471"/>
      <c r="H80" s="325"/>
      <c r="I80" s="337"/>
      <c r="J80" s="471"/>
      <c r="K80" s="471"/>
      <c r="L80" s="328"/>
      <c r="M80" s="337"/>
      <c r="N80" s="471"/>
      <c r="O80" s="319"/>
      <c r="P80" s="327"/>
      <c r="Q80" s="322"/>
      <c r="R80" s="320"/>
      <c r="S80" s="321"/>
      <c r="T80" s="324"/>
      <c r="U80" s="324"/>
    </row>
    <row r="81" spans="1:21" ht="12.75" customHeight="1">
      <c r="A81" s="215"/>
      <c r="B81" s="404"/>
      <c r="C81" s="317" t="s">
        <v>1355</v>
      </c>
      <c r="D81" s="403"/>
      <c r="E81" s="445"/>
      <c r="F81" s="456"/>
      <c r="G81" s="470"/>
      <c r="H81" s="480"/>
      <c r="I81" s="359">
        <v>80.083333333333329</v>
      </c>
      <c r="J81" s="358">
        <v>1.4555555555555556E-2</v>
      </c>
      <c r="K81" s="358">
        <v>2.7777777777777778E-4</v>
      </c>
      <c r="L81" s="328">
        <f>I81*$D$10+J81*$D$11+K81*$D$12</f>
        <v>80.53</v>
      </c>
      <c r="M81" s="491"/>
      <c r="N81" s="358">
        <v>0.32036111111111115</v>
      </c>
      <c r="O81" s="366"/>
      <c r="P81" s="374">
        <v>45.107999999999997</v>
      </c>
      <c r="Q81" s="361"/>
      <c r="R81" s="362"/>
      <c r="S81" s="363"/>
      <c r="T81" s="324" t="s">
        <v>1402</v>
      </c>
      <c r="U81" s="339"/>
    </row>
    <row r="82" spans="1:21" ht="14.25">
      <c r="A82" s="215"/>
      <c r="B82" s="404"/>
      <c r="C82" s="317" t="s">
        <v>985</v>
      </c>
      <c r="D82" s="403"/>
      <c r="E82" s="356">
        <v>2776</v>
      </c>
      <c r="F82" s="357">
        <v>8.9268000000000001</v>
      </c>
      <c r="G82" s="358">
        <v>0.1028</v>
      </c>
      <c r="H82" s="340">
        <f t="shared" ref="H82:H87" si="1">E82*$D$10+F82*$D$11+G82*$D$12</f>
        <v>3029.8044</v>
      </c>
      <c r="I82" s="490"/>
      <c r="J82" s="470"/>
      <c r="K82" s="470"/>
      <c r="L82" s="499"/>
      <c r="M82" s="359">
        <v>28.570320000000002</v>
      </c>
      <c r="N82" s="472"/>
      <c r="O82" s="366"/>
      <c r="P82" s="367"/>
      <c r="Q82" s="361"/>
      <c r="R82" s="362"/>
      <c r="S82" s="363"/>
      <c r="T82" s="324" t="s">
        <v>1402</v>
      </c>
      <c r="U82" s="339"/>
    </row>
    <row r="83" spans="1:21">
      <c r="A83" s="215"/>
      <c r="B83" s="404"/>
      <c r="C83" s="317" t="s">
        <v>1132</v>
      </c>
      <c r="D83" s="403"/>
      <c r="E83" s="356">
        <v>197</v>
      </c>
      <c r="F83" s="357">
        <v>3.73E-2</v>
      </c>
      <c r="G83" s="358">
        <v>6.3E-3</v>
      </c>
      <c r="H83" s="340">
        <f t="shared" si="1"/>
        <v>199.8099</v>
      </c>
      <c r="I83" s="490"/>
      <c r="J83" s="470"/>
      <c r="K83" s="470"/>
      <c r="L83" s="499"/>
      <c r="M83" s="359">
        <v>2.5405200000000003</v>
      </c>
      <c r="N83" s="472"/>
      <c r="O83" s="366"/>
      <c r="P83" s="367"/>
      <c r="Q83" s="361"/>
      <c r="R83" s="362"/>
      <c r="S83" s="363"/>
      <c r="T83" s="324" t="s">
        <v>1402</v>
      </c>
      <c r="U83" s="339"/>
    </row>
    <row r="84" spans="1:21">
      <c r="A84" s="215"/>
      <c r="B84" s="404"/>
      <c r="C84" s="317" t="s">
        <v>986</v>
      </c>
      <c r="D84" s="403"/>
      <c r="E84" s="356">
        <v>717.37800000000004</v>
      </c>
      <c r="F84" s="357">
        <v>1.129</v>
      </c>
      <c r="G84" s="358">
        <v>2.5399999999999999E-2</v>
      </c>
      <c r="H84" s="340">
        <f t="shared" si="1"/>
        <v>753.17220000000009</v>
      </c>
      <c r="I84" s="490"/>
      <c r="J84" s="470"/>
      <c r="K84" s="470"/>
      <c r="L84" s="499"/>
      <c r="M84" s="359">
        <v>15.433495199999999</v>
      </c>
      <c r="N84" s="472"/>
      <c r="O84" s="366"/>
      <c r="P84" s="367"/>
      <c r="Q84" s="361"/>
      <c r="R84" s="362"/>
      <c r="S84" s="363"/>
      <c r="T84" s="324" t="s">
        <v>1402</v>
      </c>
      <c r="U84" s="339"/>
    </row>
    <row r="85" spans="1:21" ht="14.25">
      <c r="A85" s="215"/>
      <c r="B85" s="404"/>
      <c r="C85" s="317" t="s">
        <v>1369</v>
      </c>
      <c r="D85" s="403"/>
      <c r="E85" s="356">
        <v>1046</v>
      </c>
      <c r="F85" s="357">
        <v>6.2</v>
      </c>
      <c r="G85" s="358">
        <v>5.4999999999999997E-3</v>
      </c>
      <c r="H85" s="340">
        <f t="shared" si="1"/>
        <v>1202.6389999999999</v>
      </c>
      <c r="I85" s="490"/>
      <c r="J85" s="470"/>
      <c r="K85" s="470"/>
      <c r="L85" s="499"/>
      <c r="M85" s="359">
        <v>13.785480000000002</v>
      </c>
      <c r="N85" s="472"/>
      <c r="O85" s="366"/>
      <c r="P85" s="367"/>
      <c r="Q85" s="361"/>
      <c r="R85" s="362"/>
      <c r="S85" s="363"/>
      <c r="T85" s="324" t="s">
        <v>1402</v>
      </c>
      <c r="U85" s="339"/>
    </row>
    <row r="86" spans="1:21">
      <c r="A86" s="215"/>
      <c r="B86" s="404"/>
      <c r="C86" s="317" t="s">
        <v>987</v>
      </c>
      <c r="D86" s="403"/>
      <c r="E86" s="356">
        <v>438.4932</v>
      </c>
      <c r="F86" s="357">
        <v>1.0301</v>
      </c>
      <c r="G86" s="358">
        <v>2.4E-2</v>
      </c>
      <c r="H86" s="340">
        <f t="shared" si="1"/>
        <v>471.39769999999999</v>
      </c>
      <c r="I86" s="490"/>
      <c r="J86" s="470"/>
      <c r="K86" s="470"/>
      <c r="L86" s="499"/>
      <c r="M86" s="359">
        <v>10.2204</v>
      </c>
      <c r="N86" s="472"/>
      <c r="O86" s="366"/>
      <c r="P86" s="367"/>
      <c r="Q86" s="361"/>
      <c r="R86" s="362"/>
      <c r="S86" s="363"/>
      <c r="T86" s="324" t="s">
        <v>1402</v>
      </c>
      <c r="U86" s="339"/>
    </row>
    <row r="87" spans="1:21">
      <c r="A87" s="215"/>
      <c r="B87" s="404"/>
      <c r="C87" s="317" t="s">
        <v>1357</v>
      </c>
      <c r="D87" s="403"/>
      <c r="E87" s="356">
        <v>0</v>
      </c>
      <c r="F87" s="357">
        <v>0</v>
      </c>
      <c r="G87" s="358">
        <v>0</v>
      </c>
      <c r="H87" s="325">
        <f t="shared" si="1"/>
        <v>0</v>
      </c>
      <c r="I87" s="490"/>
      <c r="J87" s="470"/>
      <c r="K87" s="470"/>
      <c r="L87" s="499"/>
      <c r="M87" s="359">
        <v>0</v>
      </c>
      <c r="N87" s="472"/>
      <c r="O87" s="366"/>
      <c r="P87" s="367"/>
      <c r="Q87" s="361"/>
      <c r="R87" s="362"/>
      <c r="S87" s="363"/>
      <c r="T87" s="324"/>
      <c r="U87" s="339" t="s">
        <v>1037</v>
      </c>
    </row>
    <row r="88" spans="1:21">
      <c r="A88" s="215"/>
      <c r="B88" s="404"/>
      <c r="C88" s="317" t="s">
        <v>1358</v>
      </c>
      <c r="D88" s="403"/>
      <c r="E88" s="448"/>
      <c r="F88" s="459"/>
      <c r="G88" s="472"/>
      <c r="H88" s="483"/>
      <c r="I88" s="359">
        <v>80.868472222222223</v>
      </c>
      <c r="J88" s="358">
        <v>0.27647222222222223</v>
      </c>
      <c r="K88" s="358">
        <v>3.0555555555555555E-4</v>
      </c>
      <c r="L88" s="328">
        <f>I88*$D$10+J88*$D$11+K88*$D$12</f>
        <v>87.87133333333334</v>
      </c>
      <c r="M88" s="491"/>
      <c r="N88" s="358">
        <v>1.4835</v>
      </c>
      <c r="O88" s="366"/>
      <c r="P88" s="367"/>
      <c r="Q88" s="361"/>
      <c r="R88" s="362"/>
      <c r="S88" s="363"/>
      <c r="T88" s="324" t="s">
        <v>1402</v>
      </c>
      <c r="U88" s="339"/>
    </row>
    <row r="89" spans="1:21">
      <c r="A89" s="215"/>
      <c r="B89" s="404"/>
      <c r="C89" s="317" t="s">
        <v>1426</v>
      </c>
      <c r="D89" s="403"/>
      <c r="E89" s="356">
        <v>1013</v>
      </c>
      <c r="F89" s="357">
        <v>0.64900000000000002</v>
      </c>
      <c r="G89" s="358">
        <v>7.6E-3</v>
      </c>
      <c r="H89" s="325">
        <f>E89*$D$10+F89*$D$11+G89*$D$12</f>
        <v>1031.4897999999998</v>
      </c>
      <c r="I89" s="490"/>
      <c r="J89" s="470"/>
      <c r="K89" s="470"/>
      <c r="L89" s="499"/>
      <c r="M89" s="359">
        <v>4.5979199999999993</v>
      </c>
      <c r="N89" s="472"/>
      <c r="O89" s="366"/>
      <c r="P89" s="367"/>
      <c r="Q89" s="361"/>
      <c r="R89" s="362"/>
      <c r="S89" s="363"/>
      <c r="T89" s="324" t="s">
        <v>1402</v>
      </c>
      <c r="U89" s="339"/>
    </row>
    <row r="90" spans="1:21" ht="14.25">
      <c r="A90" s="215"/>
      <c r="B90" s="404"/>
      <c r="C90" s="317" t="s">
        <v>1370</v>
      </c>
      <c r="D90" s="403"/>
      <c r="E90" s="356">
        <v>193.8502</v>
      </c>
      <c r="F90" s="357">
        <v>0.54569999999999996</v>
      </c>
      <c r="G90" s="358">
        <v>4.4999999999999997E-3</v>
      </c>
      <c r="H90" s="325">
        <f>E90*$D$10+F90*$D$11+G90*$D$12</f>
        <v>208.83370000000002</v>
      </c>
      <c r="I90" s="490"/>
      <c r="J90" s="470"/>
      <c r="K90" s="470"/>
      <c r="L90" s="499"/>
      <c r="M90" s="359">
        <v>3.8959200000000003</v>
      </c>
      <c r="N90" s="472"/>
      <c r="O90" s="366"/>
      <c r="P90" s="367"/>
      <c r="Q90" s="361"/>
      <c r="R90" s="362"/>
      <c r="S90" s="363"/>
      <c r="T90" s="324" t="s">
        <v>1402</v>
      </c>
      <c r="U90" s="339"/>
    </row>
    <row r="91" spans="1:21">
      <c r="A91" s="215"/>
      <c r="B91" s="404"/>
      <c r="C91" s="317" t="s">
        <v>1427</v>
      </c>
      <c r="D91" s="403"/>
      <c r="E91" s="356">
        <v>2478.0410000000002</v>
      </c>
      <c r="F91" s="357">
        <v>7.8360000000000003</v>
      </c>
      <c r="G91" s="358">
        <v>8.6999999999999994E-3</v>
      </c>
      <c r="H91" s="325">
        <f>E91*$D$10+F91*$D$11+G91*$D$12</f>
        <v>2676.5336000000002</v>
      </c>
      <c r="I91" s="490"/>
      <c r="J91" s="470"/>
      <c r="K91" s="470"/>
      <c r="L91" s="499"/>
      <c r="M91" s="359">
        <v>44.388359999999999</v>
      </c>
      <c r="N91" s="472"/>
      <c r="O91" s="366"/>
      <c r="P91" s="367"/>
      <c r="Q91" s="361"/>
      <c r="R91" s="362"/>
      <c r="S91" s="363"/>
      <c r="T91" s="324" t="s">
        <v>1402</v>
      </c>
      <c r="U91" s="339"/>
    </row>
    <row r="92" spans="1:21">
      <c r="A92" s="215"/>
      <c r="B92" s="404"/>
      <c r="C92" s="317" t="s">
        <v>1133</v>
      </c>
      <c r="D92" s="403"/>
      <c r="E92" s="356">
        <v>723</v>
      </c>
      <c r="F92" s="357">
        <v>0</v>
      </c>
      <c r="G92" s="358">
        <v>0</v>
      </c>
      <c r="H92" s="325">
        <f>E92*$D$10+F92*$D$11+G92*$D$12</f>
        <v>723</v>
      </c>
      <c r="I92" s="490"/>
      <c r="J92" s="470"/>
      <c r="K92" s="470"/>
      <c r="L92" s="499"/>
      <c r="M92" s="359">
        <v>53.1</v>
      </c>
      <c r="N92" s="472"/>
      <c r="O92" s="366"/>
      <c r="P92" s="367"/>
      <c r="Q92" s="361"/>
      <c r="R92" s="362"/>
      <c r="S92" s="363"/>
      <c r="T92" s="324" t="s">
        <v>1402</v>
      </c>
      <c r="U92" s="339"/>
    </row>
    <row r="93" spans="1:21">
      <c r="A93" s="215"/>
      <c r="B93" s="404"/>
      <c r="C93" s="317" t="s">
        <v>1134</v>
      </c>
      <c r="D93" s="403"/>
      <c r="E93" s="356">
        <v>947</v>
      </c>
      <c r="F93" s="357">
        <v>0</v>
      </c>
      <c r="G93" s="358">
        <v>0</v>
      </c>
      <c r="H93" s="325">
        <f>E93*$D$10+F93*$D$11+G93*$D$12</f>
        <v>947</v>
      </c>
      <c r="I93" s="490"/>
      <c r="J93" s="470"/>
      <c r="K93" s="470"/>
      <c r="L93" s="499"/>
      <c r="M93" s="359">
        <v>53.28</v>
      </c>
      <c r="N93" s="472"/>
      <c r="O93" s="366"/>
      <c r="P93" s="367"/>
      <c r="Q93" s="361"/>
      <c r="R93" s="362"/>
      <c r="S93" s="363"/>
      <c r="T93" s="324" t="s">
        <v>1402</v>
      </c>
      <c r="U93" s="339"/>
    </row>
    <row r="94" spans="1:21">
      <c r="A94" s="215"/>
      <c r="B94" s="406"/>
      <c r="C94" s="317"/>
      <c r="D94" s="402"/>
      <c r="E94" s="444"/>
      <c r="F94" s="460"/>
      <c r="G94" s="471"/>
      <c r="H94" s="482"/>
      <c r="I94" s="337"/>
      <c r="J94" s="468"/>
      <c r="K94" s="471"/>
      <c r="L94" s="336"/>
      <c r="M94" s="337"/>
      <c r="N94" s="468"/>
      <c r="O94" s="319"/>
      <c r="P94" s="335"/>
      <c r="Q94" s="322"/>
      <c r="R94" s="320"/>
      <c r="S94" s="321"/>
      <c r="T94" s="324"/>
      <c r="U94" s="339"/>
    </row>
    <row r="95" spans="1:21">
      <c r="A95" s="215"/>
      <c r="B95" s="404" t="s">
        <v>1359</v>
      </c>
      <c r="C95" s="335"/>
      <c r="D95" s="402"/>
      <c r="E95" s="444"/>
      <c r="F95" s="455"/>
      <c r="G95" s="471"/>
      <c r="H95" s="482"/>
      <c r="I95" s="337"/>
      <c r="J95" s="471"/>
      <c r="K95" s="471"/>
      <c r="L95" s="336"/>
      <c r="M95" s="337"/>
      <c r="N95" s="471"/>
      <c r="O95" s="319"/>
      <c r="P95" s="335"/>
      <c r="Q95" s="329"/>
      <c r="R95" s="341"/>
      <c r="S95" s="342"/>
      <c r="T95" s="324"/>
      <c r="U95" s="324"/>
    </row>
    <row r="96" spans="1:21">
      <c r="A96" s="215"/>
      <c r="B96" s="406"/>
      <c r="C96" s="317" t="s">
        <v>1360</v>
      </c>
      <c r="D96" s="403"/>
      <c r="E96" s="448"/>
      <c r="F96" s="459"/>
      <c r="G96" s="472"/>
      <c r="H96" s="483"/>
      <c r="I96" s="491"/>
      <c r="J96" s="472"/>
      <c r="K96" s="472"/>
      <c r="L96" s="500"/>
      <c r="M96" s="491"/>
      <c r="N96" s="505"/>
      <c r="O96" s="365"/>
      <c r="P96" s="367"/>
      <c r="Q96" s="359">
        <v>0.93600000000000005</v>
      </c>
      <c r="R96" s="369">
        <v>5.0000000000000001E-3</v>
      </c>
      <c r="S96" s="358">
        <v>0</v>
      </c>
      <c r="T96" s="324" t="s">
        <v>1402</v>
      </c>
      <c r="U96" s="324"/>
    </row>
    <row r="97" spans="1:34">
      <c r="A97" s="215"/>
      <c r="B97" s="406"/>
      <c r="C97" s="317" t="s">
        <v>1184</v>
      </c>
      <c r="D97" s="403"/>
      <c r="E97" s="448"/>
      <c r="F97" s="459"/>
      <c r="G97" s="472"/>
      <c r="H97" s="483"/>
      <c r="I97" s="491"/>
      <c r="J97" s="472"/>
      <c r="K97" s="472"/>
      <c r="L97" s="500"/>
      <c r="M97" s="491"/>
      <c r="N97" s="505"/>
      <c r="O97" s="365"/>
      <c r="P97" s="367"/>
      <c r="Q97" s="359">
        <v>1.008</v>
      </c>
      <c r="R97" s="369">
        <v>5.0000000000000001E-3</v>
      </c>
      <c r="S97" s="358">
        <v>0</v>
      </c>
      <c r="T97" s="324"/>
      <c r="U97" s="324" t="s">
        <v>1185</v>
      </c>
    </row>
    <row r="98" spans="1:34">
      <c r="A98" s="215"/>
      <c r="B98" s="406"/>
      <c r="C98" s="317" t="s">
        <v>1361</v>
      </c>
      <c r="D98" s="403"/>
      <c r="E98" s="448"/>
      <c r="F98" s="459"/>
      <c r="G98" s="472"/>
      <c r="H98" s="483"/>
      <c r="I98" s="491"/>
      <c r="J98" s="472"/>
      <c r="K98" s="472"/>
      <c r="L98" s="500"/>
      <c r="M98" s="491"/>
      <c r="N98" s="505"/>
      <c r="O98" s="365"/>
      <c r="P98" s="367"/>
      <c r="Q98" s="359">
        <v>2.0122857142857145</v>
      </c>
      <c r="R98" s="369">
        <v>5.0000000000000001E-3</v>
      </c>
      <c r="S98" s="358">
        <v>0</v>
      </c>
      <c r="T98" s="324" t="s">
        <v>1402</v>
      </c>
      <c r="U98" s="339"/>
      <c r="V98"/>
      <c r="W98"/>
      <c r="X98"/>
      <c r="Y98"/>
      <c r="Z98"/>
      <c r="AA98"/>
      <c r="AB98"/>
      <c r="AC98"/>
      <c r="AD98"/>
      <c r="AE98"/>
      <c r="AF98"/>
      <c r="AG98"/>
      <c r="AH98"/>
    </row>
    <row r="99" spans="1:34">
      <c r="A99" s="215"/>
      <c r="B99" s="407"/>
      <c r="C99" s="397" t="s">
        <v>974</v>
      </c>
      <c r="D99" s="403"/>
      <c r="E99" s="448"/>
      <c r="F99" s="459"/>
      <c r="G99" s="472"/>
      <c r="H99" s="483"/>
      <c r="I99" s="491"/>
      <c r="J99" s="472"/>
      <c r="K99" s="472"/>
      <c r="L99" s="500"/>
      <c r="M99" s="491"/>
      <c r="N99" s="505"/>
      <c r="O99" s="365"/>
      <c r="P99" s="367"/>
      <c r="Q99" s="359">
        <v>2.16</v>
      </c>
      <c r="R99" s="369">
        <v>0</v>
      </c>
      <c r="S99" s="358">
        <v>0</v>
      </c>
      <c r="T99" s="324" t="s">
        <v>1402</v>
      </c>
      <c r="U99" s="339"/>
      <c r="V99"/>
      <c r="W99"/>
      <c r="X99"/>
      <c r="Y99"/>
      <c r="Z99"/>
      <c r="AA99"/>
      <c r="AB99"/>
      <c r="AC99"/>
      <c r="AD99"/>
      <c r="AE99"/>
      <c r="AF99"/>
      <c r="AG99"/>
      <c r="AH99"/>
    </row>
    <row r="100" spans="1:34">
      <c r="A100" s="215"/>
      <c r="B100" s="407"/>
      <c r="C100" s="397" t="s">
        <v>975</v>
      </c>
      <c r="D100" s="403"/>
      <c r="E100" s="448"/>
      <c r="F100" s="459"/>
      <c r="G100" s="472"/>
      <c r="H100" s="483"/>
      <c r="I100" s="491"/>
      <c r="J100" s="472"/>
      <c r="K100" s="472"/>
      <c r="L100" s="500"/>
      <c r="M100" s="491"/>
      <c r="N100" s="505"/>
      <c r="O100" s="365"/>
      <c r="P100" s="367"/>
      <c r="Q100" s="359">
        <v>0.94</v>
      </c>
      <c r="R100" s="369">
        <v>0</v>
      </c>
      <c r="S100" s="358">
        <v>0</v>
      </c>
      <c r="T100" s="324" t="s">
        <v>1402</v>
      </c>
      <c r="U100" s="339"/>
      <c r="V100"/>
      <c r="W100"/>
      <c r="X100"/>
      <c r="Y100"/>
      <c r="Z100"/>
      <c r="AA100"/>
      <c r="AB100"/>
      <c r="AC100"/>
      <c r="AD100"/>
      <c r="AE100"/>
      <c r="AF100"/>
      <c r="AG100"/>
      <c r="AH100"/>
    </row>
    <row r="101" spans="1:34">
      <c r="A101" s="215"/>
      <c r="B101" s="407"/>
      <c r="C101" s="397" t="s">
        <v>976</v>
      </c>
      <c r="D101" s="403"/>
      <c r="E101" s="448"/>
      <c r="F101" s="459"/>
      <c r="G101" s="472"/>
      <c r="H101" s="483"/>
      <c r="I101" s="491"/>
      <c r="J101" s="472"/>
      <c r="K101" s="472"/>
      <c r="L101" s="500"/>
      <c r="M101" s="491"/>
      <c r="N101" s="505"/>
      <c r="O101" s="365"/>
      <c r="P101" s="367"/>
      <c r="Q101" s="359">
        <v>3.6</v>
      </c>
      <c r="R101" s="369">
        <v>0</v>
      </c>
      <c r="S101" s="358">
        <v>0</v>
      </c>
      <c r="T101" s="324" t="s">
        <v>1402</v>
      </c>
      <c r="U101" s="339"/>
      <c r="V101"/>
      <c r="W101"/>
      <c r="X101"/>
      <c r="Y101"/>
      <c r="Z101"/>
      <c r="AA101"/>
      <c r="AB101"/>
      <c r="AC101"/>
      <c r="AD101"/>
      <c r="AE101"/>
      <c r="AF101"/>
      <c r="AG101"/>
      <c r="AH101"/>
    </row>
    <row r="102" spans="1:34">
      <c r="A102" s="215"/>
      <c r="B102" s="407"/>
      <c r="C102" s="397" t="s">
        <v>1362</v>
      </c>
      <c r="D102" s="403"/>
      <c r="E102" s="448"/>
      <c r="F102" s="459"/>
      <c r="G102" s="472"/>
      <c r="H102" s="483"/>
      <c r="I102" s="491"/>
      <c r="J102" s="472"/>
      <c r="K102" s="472"/>
      <c r="L102" s="500"/>
      <c r="M102" s="491"/>
      <c r="N102" s="505"/>
      <c r="O102" s="365"/>
      <c r="P102" s="367"/>
      <c r="Q102" s="359">
        <v>0.20358000000000001</v>
      </c>
      <c r="R102" s="369">
        <v>2.9999999999999997E-4</v>
      </c>
      <c r="S102" s="358">
        <v>7.2000000000000005E-4</v>
      </c>
      <c r="T102" s="324" t="s">
        <v>1402</v>
      </c>
      <c r="U102" s="339"/>
      <c r="V102"/>
      <c r="W102"/>
      <c r="X102"/>
      <c r="Y102"/>
      <c r="Z102"/>
      <c r="AA102"/>
      <c r="AB102"/>
      <c r="AC102"/>
      <c r="AD102"/>
      <c r="AE102"/>
      <c r="AF102"/>
      <c r="AG102"/>
      <c r="AH102"/>
    </row>
    <row r="103" spans="1:34">
      <c r="A103" s="215"/>
      <c r="B103" s="407"/>
      <c r="C103" s="397" t="s">
        <v>1363</v>
      </c>
      <c r="D103" s="403"/>
      <c r="E103" s="448"/>
      <c r="F103" s="459"/>
      <c r="G103" s="472"/>
      <c r="H103" s="483"/>
      <c r="I103" s="491"/>
      <c r="J103" s="472"/>
      <c r="K103" s="472"/>
      <c r="L103" s="500"/>
      <c r="M103" s="491"/>
      <c r="N103" s="505"/>
      <c r="O103" s="365"/>
      <c r="P103" s="367"/>
      <c r="Q103" s="359">
        <v>0.12384000000000001</v>
      </c>
      <c r="R103" s="369">
        <v>0</v>
      </c>
      <c r="S103" s="358">
        <v>0</v>
      </c>
      <c r="T103" s="324" t="s">
        <v>1402</v>
      </c>
      <c r="U103" s="324"/>
      <c r="V103"/>
      <c r="W103"/>
      <c r="X103"/>
      <c r="Y103"/>
      <c r="Z103"/>
      <c r="AA103"/>
      <c r="AB103"/>
      <c r="AC103"/>
      <c r="AD103"/>
      <c r="AE103"/>
      <c r="AF103"/>
      <c r="AG103"/>
      <c r="AH103"/>
    </row>
    <row r="104" spans="1:34">
      <c r="A104" s="215"/>
      <c r="B104" s="407"/>
      <c r="C104" s="397" t="s">
        <v>1364</v>
      </c>
      <c r="D104" s="403"/>
      <c r="E104" s="448"/>
      <c r="F104" s="459"/>
      <c r="G104" s="472"/>
      <c r="H104" s="483"/>
      <c r="I104" s="491"/>
      <c r="J104" s="472"/>
      <c r="K104" s="472"/>
      <c r="L104" s="500"/>
      <c r="M104" s="491"/>
      <c r="N104" s="505"/>
      <c r="O104" s="365"/>
      <c r="P104" s="367"/>
      <c r="Q104" s="359">
        <v>0</v>
      </c>
      <c r="R104" s="369">
        <v>0</v>
      </c>
      <c r="S104" s="358">
        <v>0</v>
      </c>
      <c r="T104" s="324" t="s">
        <v>1402</v>
      </c>
      <c r="U104" s="324"/>
      <c r="V104"/>
      <c r="W104"/>
      <c r="X104"/>
      <c r="Y104"/>
      <c r="Z104"/>
      <c r="AA104"/>
      <c r="AB104"/>
      <c r="AC104"/>
      <c r="AD104"/>
      <c r="AE104"/>
      <c r="AF104"/>
      <c r="AG104"/>
      <c r="AH104"/>
    </row>
    <row r="105" spans="1:34">
      <c r="A105" s="215"/>
      <c r="B105" s="407"/>
      <c r="C105" s="398" t="s">
        <v>1365</v>
      </c>
      <c r="D105" s="403"/>
      <c r="E105" s="449"/>
      <c r="F105" s="461"/>
      <c r="G105" s="473"/>
      <c r="H105" s="484"/>
      <c r="I105" s="492"/>
      <c r="J105" s="472"/>
      <c r="K105" s="472"/>
      <c r="L105" s="500"/>
      <c r="M105" s="491"/>
      <c r="N105" s="505"/>
      <c r="O105" s="365"/>
      <c r="P105" s="367"/>
      <c r="Q105" s="359">
        <v>0.21</v>
      </c>
      <c r="R105" s="369">
        <v>0</v>
      </c>
      <c r="S105" s="358">
        <v>0</v>
      </c>
      <c r="T105" s="324" t="s">
        <v>1402</v>
      </c>
      <c r="U105" s="324"/>
      <c r="V105"/>
      <c r="W105"/>
      <c r="X105"/>
      <c r="Y105"/>
      <c r="Z105"/>
      <c r="AA105"/>
      <c r="AB105"/>
      <c r="AC105"/>
      <c r="AD105"/>
      <c r="AE105"/>
      <c r="AF105"/>
      <c r="AG105"/>
      <c r="AH105"/>
    </row>
    <row r="106" spans="1:34">
      <c r="A106" s="215"/>
      <c r="B106" s="407"/>
      <c r="C106" s="398"/>
      <c r="D106" s="402"/>
      <c r="E106" s="450"/>
      <c r="F106" s="462"/>
      <c r="G106" s="474"/>
      <c r="H106" s="485"/>
      <c r="I106" s="493"/>
      <c r="J106" s="476"/>
      <c r="K106" s="476"/>
      <c r="L106" s="501"/>
      <c r="M106" s="495"/>
      <c r="N106" s="506"/>
      <c r="O106" s="344"/>
      <c r="P106" s="345"/>
      <c r="Q106" s="510"/>
      <c r="R106" s="346"/>
      <c r="S106" s="347"/>
      <c r="T106" s="348"/>
      <c r="U106" s="324"/>
    </row>
    <row r="107" spans="1:34">
      <c r="A107" s="215"/>
      <c r="B107" s="3390" t="s">
        <v>1002</v>
      </c>
      <c r="C107" s="3391"/>
      <c r="D107" s="402"/>
      <c r="E107" s="450"/>
      <c r="F107" s="462"/>
      <c r="G107" s="474"/>
      <c r="H107" s="485"/>
      <c r="I107" s="493"/>
      <c r="J107" s="476"/>
      <c r="K107" s="476"/>
      <c r="L107" s="501"/>
      <c r="M107" s="493"/>
      <c r="N107" s="507"/>
      <c r="O107" s="343"/>
      <c r="P107" s="349"/>
      <c r="Q107" s="511"/>
      <c r="R107" s="514"/>
      <c r="S107" s="350"/>
      <c r="T107" s="348"/>
      <c r="U107" s="324"/>
    </row>
    <row r="108" spans="1:34" ht="14.25">
      <c r="A108" s="215"/>
      <c r="B108" s="254"/>
      <c r="C108" s="261" t="s">
        <v>990</v>
      </c>
      <c r="D108" s="403"/>
      <c r="E108" s="451"/>
      <c r="F108" s="463"/>
      <c r="G108" s="475"/>
      <c r="H108" s="486"/>
      <c r="I108" s="494"/>
      <c r="J108" s="358">
        <v>2.7777777777777779E-3</v>
      </c>
      <c r="K108" s="358">
        <v>1.1111111111111111E-3</v>
      </c>
      <c r="L108" s="328">
        <f>I108*$D$10+J108*$D$11+K108*$D$12</f>
        <v>0.40055555555555555</v>
      </c>
      <c r="M108" s="503"/>
      <c r="N108" s="508"/>
      <c r="O108" s="370"/>
      <c r="P108" s="371"/>
      <c r="Q108" s="503"/>
      <c r="R108" s="504"/>
      <c r="S108" s="371"/>
      <c r="T108" s="324" t="s">
        <v>1402</v>
      </c>
      <c r="U108" s="324"/>
    </row>
    <row r="109" spans="1:34" ht="14.25">
      <c r="A109" s="215"/>
      <c r="B109" s="254"/>
      <c r="C109" s="261" t="s">
        <v>846</v>
      </c>
      <c r="D109" s="403"/>
      <c r="E109" s="451"/>
      <c r="F109" s="463"/>
      <c r="G109" s="475"/>
      <c r="H109" s="486"/>
      <c r="I109" s="494"/>
      <c r="J109" s="358">
        <v>0</v>
      </c>
      <c r="K109" s="358">
        <v>0</v>
      </c>
      <c r="L109" s="328">
        <f>I109*$D$10+J109*$D$11+K109*$D$12</f>
        <v>0</v>
      </c>
      <c r="M109" s="503"/>
      <c r="N109" s="508"/>
      <c r="O109" s="370"/>
      <c r="P109" s="371"/>
      <c r="Q109" s="503"/>
      <c r="R109" s="504"/>
      <c r="S109" s="371"/>
      <c r="T109" s="324" t="s">
        <v>1402</v>
      </c>
      <c r="U109" s="324"/>
    </row>
    <row r="110" spans="1:34" ht="14.25">
      <c r="A110" s="215"/>
      <c r="B110" s="254"/>
      <c r="C110" s="261" t="s">
        <v>809</v>
      </c>
      <c r="D110" s="403"/>
      <c r="E110" s="451"/>
      <c r="F110" s="463"/>
      <c r="G110" s="475"/>
      <c r="H110" s="486"/>
      <c r="I110" s="494"/>
      <c r="J110" s="358">
        <v>2.3055555555555555E-3</v>
      </c>
      <c r="K110" s="358">
        <v>1.2611111111111111E-2</v>
      </c>
      <c r="L110" s="328">
        <f>I110*$D$10+J110*$D$11+K110*$D$12</f>
        <v>3.81575</v>
      </c>
      <c r="M110" s="503"/>
      <c r="N110" s="508"/>
      <c r="O110" s="370"/>
      <c r="P110" s="371"/>
      <c r="Q110" s="503"/>
      <c r="R110" s="504"/>
      <c r="S110" s="371"/>
      <c r="T110" s="324" t="s">
        <v>1402</v>
      </c>
      <c r="U110" s="324"/>
    </row>
    <row r="111" spans="1:34" ht="14.25">
      <c r="A111" s="215"/>
      <c r="B111" s="254"/>
      <c r="C111" s="261" t="s">
        <v>810</v>
      </c>
      <c r="D111" s="403"/>
      <c r="E111" s="451"/>
      <c r="F111" s="463"/>
      <c r="G111" s="475"/>
      <c r="H111" s="486"/>
      <c r="I111" s="494"/>
      <c r="J111" s="358">
        <v>0</v>
      </c>
      <c r="K111" s="358">
        <v>0</v>
      </c>
      <c r="L111" s="328">
        <f>I111*$D$10+J111*$D$11+K111*$D$12</f>
        <v>0</v>
      </c>
      <c r="M111" s="503"/>
      <c r="N111" s="508"/>
      <c r="O111" s="370"/>
      <c r="P111" s="371"/>
      <c r="Q111" s="503"/>
      <c r="R111" s="504"/>
      <c r="S111" s="371"/>
      <c r="T111" s="324" t="s">
        <v>1402</v>
      </c>
      <c r="U111" s="324"/>
    </row>
    <row r="112" spans="1:34" ht="14.25">
      <c r="A112" s="215"/>
      <c r="B112" s="254"/>
      <c r="C112" s="261" t="s">
        <v>1001</v>
      </c>
      <c r="D112" s="403"/>
      <c r="E112" s="451"/>
      <c r="F112" s="463"/>
      <c r="G112" s="475"/>
      <c r="H112" s="486"/>
      <c r="I112" s="494"/>
      <c r="J112" s="358">
        <f>0.192/3.6</f>
        <v>5.333333333333333E-2</v>
      </c>
      <c r="K112" s="358">
        <v>0</v>
      </c>
      <c r="L112" s="328">
        <f>I112*$D$10+J112*$D$11+K112*$D$12</f>
        <v>1.3333333333333333</v>
      </c>
      <c r="M112" s="503"/>
      <c r="N112" s="508"/>
      <c r="O112" s="370"/>
      <c r="P112" s="371"/>
      <c r="Q112" s="503"/>
      <c r="R112" s="504"/>
      <c r="S112" s="371"/>
      <c r="T112" s="324" t="s">
        <v>1402</v>
      </c>
      <c r="U112" s="324"/>
    </row>
    <row r="113" spans="1:21">
      <c r="A113" s="215"/>
      <c r="B113" s="407"/>
      <c r="C113" s="398"/>
      <c r="D113" s="402"/>
      <c r="E113" s="452"/>
      <c r="F113" s="464"/>
      <c r="G113" s="476"/>
      <c r="H113" s="325"/>
      <c r="I113" s="489"/>
      <c r="J113" s="476"/>
      <c r="K113" s="476"/>
      <c r="L113" s="501"/>
      <c r="M113" s="493"/>
      <c r="N113" s="507"/>
      <c r="O113" s="343"/>
      <c r="P113" s="349"/>
      <c r="Q113" s="512"/>
      <c r="R113" s="351"/>
      <c r="S113" s="352"/>
      <c r="T113" s="348"/>
      <c r="U113" s="324"/>
    </row>
    <row r="114" spans="1:21">
      <c r="A114" s="215"/>
      <c r="B114" s="3392" t="s">
        <v>1038</v>
      </c>
      <c r="C114" s="3393"/>
      <c r="D114" s="402"/>
      <c r="E114" s="452"/>
      <c r="F114" s="464"/>
      <c r="G114" s="476"/>
      <c r="H114" s="487"/>
      <c r="I114" s="495"/>
      <c r="J114" s="476"/>
      <c r="K114" s="476"/>
      <c r="L114" s="501"/>
      <c r="M114" s="493"/>
      <c r="N114" s="507"/>
      <c r="O114" s="343"/>
      <c r="P114" s="349"/>
      <c r="Q114" s="511"/>
      <c r="R114" s="514"/>
      <c r="S114" s="350"/>
      <c r="T114" s="348"/>
      <c r="U114" s="324"/>
    </row>
    <row r="115" spans="1:21">
      <c r="A115" s="215"/>
      <c r="B115" s="409"/>
      <c r="C115" s="397" t="s">
        <v>988</v>
      </c>
      <c r="D115" s="403"/>
      <c r="E115" s="448"/>
      <c r="F115" s="459"/>
      <c r="G115" s="472"/>
      <c r="H115" s="483"/>
      <c r="I115" s="359">
        <v>114.48</v>
      </c>
      <c r="J115" s="358">
        <v>0.36788585858585859</v>
      </c>
      <c r="K115" s="358">
        <v>4.9845959595959596E-3</v>
      </c>
      <c r="L115" s="328">
        <f>I115*$D$10+J115*$D$11+K115*$D$12</f>
        <v>125.16255606060606</v>
      </c>
      <c r="M115" s="503"/>
      <c r="N115" s="358">
        <v>2.0510909090909091</v>
      </c>
      <c r="O115" s="370"/>
      <c r="P115" s="371"/>
      <c r="Q115" s="503"/>
      <c r="R115" s="504"/>
      <c r="S115" s="371"/>
      <c r="T115" s="324" t="s">
        <v>1402</v>
      </c>
      <c r="U115" s="324"/>
    </row>
    <row r="116" spans="1:21">
      <c r="A116" s="215"/>
      <c r="B116" s="408"/>
      <c r="C116" s="397" t="s">
        <v>989</v>
      </c>
      <c r="D116" s="403"/>
      <c r="E116" s="448"/>
      <c r="F116" s="459"/>
      <c r="G116" s="472"/>
      <c r="H116" s="483"/>
      <c r="I116" s="359">
        <v>284.77059400000002</v>
      </c>
      <c r="J116" s="358">
        <v>2.5857055555555553E-2</v>
      </c>
      <c r="K116" s="358">
        <v>7.7782777777777781E-3</v>
      </c>
      <c r="L116" s="328">
        <f>I116*$D$10+J116*$D$11+K116*$D$12</f>
        <v>287.73494716666664</v>
      </c>
      <c r="M116" s="503"/>
      <c r="N116" s="358">
        <v>2.4770483999999997</v>
      </c>
      <c r="O116" s="370"/>
      <c r="P116" s="371"/>
      <c r="Q116" s="503"/>
      <c r="R116" s="504"/>
      <c r="S116" s="371"/>
      <c r="T116" s="324" t="s">
        <v>1402</v>
      </c>
      <c r="U116" s="324"/>
    </row>
    <row r="117" spans="1:21">
      <c r="A117" s="215"/>
      <c r="B117" s="408"/>
      <c r="C117" s="397" t="s">
        <v>945</v>
      </c>
      <c r="D117" s="403"/>
      <c r="E117" s="448"/>
      <c r="F117" s="459"/>
      <c r="G117" s="472"/>
      <c r="H117" s="483"/>
      <c r="I117" s="359">
        <v>5.5605764499999992</v>
      </c>
      <c r="J117" s="358">
        <v>4.2328000000000001E-3</v>
      </c>
      <c r="K117" s="358">
        <v>1.7636666666666668E-4</v>
      </c>
      <c r="L117" s="328">
        <f>I117*$D$10+J117*$D$11+K117*$D$12</f>
        <v>5.7189537166666655</v>
      </c>
      <c r="M117" s="494"/>
      <c r="N117" s="358">
        <v>8.0634839999999999E-2</v>
      </c>
      <c r="O117" s="372"/>
      <c r="P117" s="373"/>
      <c r="Q117" s="494"/>
      <c r="R117" s="515"/>
      <c r="S117" s="373"/>
      <c r="T117" s="324" t="s">
        <v>1402</v>
      </c>
      <c r="U117" s="324"/>
    </row>
    <row r="118" spans="1:21">
      <c r="A118" s="215"/>
      <c r="B118" s="254"/>
      <c r="C118" s="261"/>
      <c r="D118" s="266"/>
      <c r="E118" s="453"/>
      <c r="F118" s="465"/>
      <c r="G118" s="477"/>
      <c r="H118" s="488"/>
      <c r="I118" s="496"/>
      <c r="J118" s="498"/>
      <c r="K118" s="498"/>
      <c r="L118" s="263"/>
      <c r="M118" s="496"/>
      <c r="N118" s="477"/>
      <c r="O118" s="217"/>
      <c r="P118" s="264"/>
      <c r="Q118" s="496"/>
      <c r="R118" s="466"/>
      <c r="S118" s="264"/>
      <c r="T118" s="266"/>
      <c r="U118" s="266"/>
    </row>
    <row r="119" spans="1:21">
      <c r="A119" s="215"/>
      <c r="B119" s="3388" t="s">
        <v>1373</v>
      </c>
      <c r="C119" s="3389"/>
      <c r="D119" s="400"/>
      <c r="E119" s="440"/>
      <c r="F119" s="218"/>
      <c r="G119" s="442"/>
      <c r="H119" s="439"/>
      <c r="I119" s="229"/>
      <c r="J119" s="442"/>
      <c r="K119" s="442"/>
      <c r="L119" s="307"/>
      <c r="M119" s="229"/>
      <c r="N119" s="442"/>
      <c r="O119" s="303"/>
      <c r="P119" s="267"/>
      <c r="Q119" s="513"/>
      <c r="R119" s="516"/>
      <c r="S119" s="304"/>
      <c r="T119" s="305"/>
      <c r="U119" s="308"/>
    </row>
    <row r="120" spans="1:21">
      <c r="A120" s="215"/>
      <c r="B120" s="306"/>
      <c r="C120" s="438" t="str">
        <f>IF('User defined standard values'!C9&lt;&gt;"",'User defined standard values'!C9, "")</f>
        <v>Example 1 (diesel from standard values)</v>
      </c>
      <c r="D120" s="308"/>
      <c r="E120" s="440" t="str">
        <f>IF('User defined standard values'!E9&lt;&gt;"",'User defined standard values'!E9, "")</f>
        <v/>
      </c>
      <c r="F120" s="218" t="str">
        <f>IF('User defined standard values'!F9&lt;&gt;"",'User defined standard values'!F9, "")</f>
        <v/>
      </c>
      <c r="G120" s="442" t="str">
        <f>IF('User defined standard values'!G9&lt;&gt;"",'User defined standard values'!G9, "")</f>
        <v/>
      </c>
      <c r="H120" s="439">
        <f>IF('User defined standard values'!H9&lt;&gt;"",'User defined standard values'!H9, "")</f>
        <v>0</v>
      </c>
      <c r="I120" s="229">
        <f>IF('User defined standard values'!I9&lt;&gt;"",'User defined standard values'!I9, "")</f>
        <v>87.638888888888886</v>
      </c>
      <c r="J120" s="442">
        <f>IF('User defined standard values'!J9&lt;&gt;"",'User defined standard values'!J9, "")</f>
        <v>0</v>
      </c>
      <c r="K120" s="442">
        <f>IF('User defined standard values'!K9&lt;&gt;"",'User defined standard values'!K9, "")</f>
        <v>0</v>
      </c>
      <c r="L120" s="307">
        <f>IF('User defined standard values'!L9&lt;&gt;"",'User defined standard values'!L9, "")</f>
        <v>87.638888888888886</v>
      </c>
      <c r="M120" s="218" t="str">
        <f>IF('User defined standard values'!M9&lt;&gt;"",'User defined standard values'!M9, "")</f>
        <v/>
      </c>
      <c r="N120" s="442">
        <f>IF('User defined standard values'!N9&lt;&gt;"",'User defined standard values'!N9, "")</f>
        <v>1.1575</v>
      </c>
      <c r="O120" s="509">
        <f>IF('User defined standard values'!O9&lt;&gt;"",'User defined standard values'!O9, "")</f>
        <v>832</v>
      </c>
      <c r="P120" s="439">
        <f>IF('User defined standard values'!P9&lt;&gt;"",'User defined standard values'!P9, "")</f>
        <v>43.1</v>
      </c>
      <c r="Q120" s="218" t="str">
        <f>IF('User defined standard values'!Q9&lt;&gt;"",'User defined standard values'!Q9, "")</f>
        <v/>
      </c>
      <c r="R120" s="441" t="str">
        <f>IF('User defined standard values'!R9&lt;&gt;"",'User defined standard values'!R9, "")</f>
        <v/>
      </c>
      <c r="S120" s="517" t="str">
        <f>IF('User defined standard values'!S9&lt;&gt;"",'User defined standard values'!S9, "")</f>
        <v/>
      </c>
      <c r="T120" s="305" t="str">
        <f>IF('User defined standard values'!T9&lt;&gt;"",'User defined standard values'!T9, "")</f>
        <v>WTT Appendix 1 (v3) paragraph 2.1 &amp; 3 (Z1)</v>
      </c>
      <c r="U120" s="308" t="str">
        <f>IF('User defined standard values'!U9&lt;&gt;"",'User defined standard values'!U9, "")</f>
        <v/>
      </c>
    </row>
    <row r="121" spans="1:21">
      <c r="A121" s="215"/>
      <c r="B121" s="306"/>
      <c r="C121" s="438" t="str">
        <f>IF('User defined standard values'!C10&lt;&gt;"",'User defined standard values'!C10, "")</f>
        <v>Example 2 (methanol from standard values)</v>
      </c>
      <c r="D121" s="308"/>
      <c r="E121" s="440" t="str">
        <f>IF('User defined standard values'!E10&lt;&gt;"",'User defined standard values'!E10, "")</f>
        <v/>
      </c>
      <c r="F121" s="218" t="str">
        <f>IF('User defined standard values'!F10&lt;&gt;"",'User defined standard values'!F10, "")</f>
        <v/>
      </c>
      <c r="G121" s="442" t="str">
        <f>IF('User defined standard values'!G10&lt;&gt;"",'User defined standard values'!G10, "")</f>
        <v/>
      </c>
      <c r="H121" s="439">
        <f>IF('User defined standard values'!H10&lt;&gt;"",'User defined standard values'!H10, "")</f>
        <v>0</v>
      </c>
      <c r="I121" s="229">
        <f>IF('User defined standard values'!I10&lt;&gt;"",'User defined standard values'!I10, "")</f>
        <v>92.797444444444452</v>
      </c>
      <c r="J121" s="442">
        <f>IF('User defined standard values'!J10&lt;&gt;"",'User defined standard values'!J10, "")</f>
        <v>0.29002777777777777</v>
      </c>
      <c r="K121" s="442">
        <f>IF('User defined standard values'!K10&lt;&gt;"",'User defined standard values'!K10, "")</f>
        <v>3.3333333333333332E-4</v>
      </c>
      <c r="L121" s="307">
        <f>IF('User defined standard values'!L10&lt;&gt;"",'User defined standard values'!L10, "")</f>
        <v>100.14747222222223</v>
      </c>
      <c r="M121" s="218" t="str">
        <f>IF('User defined standard values'!M10&lt;&gt;"",'User defined standard values'!M10, "")</f>
        <v/>
      </c>
      <c r="N121" s="442">
        <f>IF('User defined standard values'!N10&lt;&gt;"",'User defined standard values'!N10, "")</f>
        <v>1.6594</v>
      </c>
      <c r="O121" s="509">
        <f>IF('User defined standard values'!O10&lt;&gt;"",'User defined standard values'!O10, "")</f>
        <v>793</v>
      </c>
      <c r="P121" s="439">
        <f>IF('User defined standard values'!P10&lt;&gt;"",'User defined standard values'!P10, "")</f>
        <v>19.899999999999999</v>
      </c>
      <c r="Q121" s="218" t="str">
        <f>IF('User defined standard values'!Q10&lt;&gt;"",'User defined standard values'!Q10, "")</f>
        <v/>
      </c>
      <c r="R121" s="441" t="str">
        <f>IF('User defined standard values'!R10&lt;&gt;"",'User defined standard values'!R10, "")</f>
        <v/>
      </c>
      <c r="S121" s="517" t="str">
        <f>IF('User defined standard values'!S10&lt;&gt;"",'User defined standard values'!S10, "")</f>
        <v/>
      </c>
      <c r="T121" s="305" t="str">
        <f>IF('User defined standard values'!T10&lt;&gt;"",'User defined standard values'!T10, "")</f>
        <v>WTT Appendix 1 (v3) paragraph 2.1 &amp; 6.1 (GA1)</v>
      </c>
      <c r="U121" s="308" t="str">
        <f>IF('User defined standard values'!U10&lt;&gt;"",'User defined standard values'!U10, "")</f>
        <v/>
      </c>
    </row>
    <row r="122" spans="1:21">
      <c r="A122" s="215"/>
      <c r="B122" s="306"/>
      <c r="C122" s="438" t="str">
        <f>IF('User defined standard values'!C11&lt;&gt;"",'User defined standard values'!C11, "")</f>
        <v>Example 3 (N-fertiliser from standard values)</v>
      </c>
      <c r="D122" s="308"/>
      <c r="E122" s="440">
        <f>IF('User defined standard values'!E11&lt;&gt;"",'User defined standard values'!E11, "")</f>
        <v>2827.0048999999999</v>
      </c>
      <c r="F122" s="218">
        <f>IF('User defined standard values'!F11&lt;&gt;"",'User defined standard values'!F11, "")</f>
        <v>8.6788000000000007</v>
      </c>
      <c r="G122" s="442">
        <f>IF('User defined standard values'!G11&lt;&gt;"",'User defined standard values'!G11, "")</f>
        <v>9.6417999999999999</v>
      </c>
      <c r="H122" s="439">
        <f>IF('User defined standard values'!H11&lt;&gt;"",'User defined standard values'!H11, "")</f>
        <v>5917.2312999999995</v>
      </c>
      <c r="I122" s="229" t="str">
        <f>IF('User defined standard values'!I11&lt;&gt;"",'User defined standard values'!I11, "")</f>
        <v/>
      </c>
      <c r="J122" s="442" t="str">
        <f>IF('User defined standard values'!J11&lt;&gt;"",'User defined standard values'!J11, "")</f>
        <v/>
      </c>
      <c r="K122" s="442" t="str">
        <f>IF('User defined standard values'!K11&lt;&gt;"",'User defined standard values'!K11, "")</f>
        <v/>
      </c>
      <c r="L122" s="307">
        <f>IF('User defined standard values'!L11&lt;&gt;"",'User defined standard values'!L11, "")</f>
        <v>0</v>
      </c>
      <c r="M122" s="218">
        <f>IF('User defined standard values'!M11&lt;&gt;"",'User defined standard values'!M11, "")</f>
        <v>48.990600000000001</v>
      </c>
      <c r="N122" s="442" t="str">
        <f>IF('User defined standard values'!N11&lt;&gt;"",'User defined standard values'!N11, "")</f>
        <v/>
      </c>
      <c r="O122" s="509" t="str">
        <f>IF('User defined standard values'!O11&lt;&gt;"",'User defined standard values'!O11, "")</f>
        <v/>
      </c>
      <c r="P122" s="439" t="str">
        <f>IF('User defined standard values'!P11&lt;&gt;"",'User defined standard values'!P11, "")</f>
        <v/>
      </c>
      <c r="Q122" s="218" t="str">
        <f>IF('User defined standard values'!Q11&lt;&gt;"",'User defined standard values'!Q11, "")</f>
        <v/>
      </c>
      <c r="R122" s="441" t="str">
        <f>IF('User defined standard values'!R11&lt;&gt;"",'User defined standard values'!R11, "")</f>
        <v/>
      </c>
      <c r="S122" s="517" t="str">
        <f>IF('User defined standard values'!S11&lt;&gt;"",'User defined standard values'!S11, "")</f>
        <v/>
      </c>
      <c r="T122" s="305" t="str">
        <f>IF('User defined standard values'!T11&lt;&gt;"",'User defined standard values'!T11, "")</f>
        <v/>
      </c>
      <c r="U122" s="308" t="str">
        <f>IF('User defined standard values'!U11&lt;&gt;"",'User defined standard values'!U11, "")</f>
        <v/>
      </c>
    </row>
    <row r="123" spans="1:21">
      <c r="A123" s="215"/>
      <c r="B123" s="306"/>
      <c r="C123" s="438" t="str">
        <f>IF('User defined standard values'!C12&lt;&gt;"",'User defined standard values'!C12, "")</f>
        <v>Nitrogen</v>
      </c>
      <c r="D123" s="308"/>
      <c r="E123" s="440">
        <f>IF('User defined standard values'!E12&lt;&gt;"",'User defined standard values'!E12, "")</f>
        <v>434</v>
      </c>
      <c r="F123" s="218">
        <f>IF('User defined standard values'!F12&lt;&gt;"",'User defined standard values'!F12, "")</f>
        <v>0</v>
      </c>
      <c r="G123" s="442">
        <f>IF('User defined standard values'!G12&lt;&gt;"",'User defined standard values'!G12, "")</f>
        <v>0</v>
      </c>
      <c r="H123" s="439">
        <f>IF('User defined standard values'!H12&lt;&gt;"",'User defined standard values'!H12, "")</f>
        <v>434</v>
      </c>
      <c r="I123" s="229" t="str">
        <f>IF('User defined standard values'!I12&lt;&gt;"",'User defined standard values'!I12, "")</f>
        <v/>
      </c>
      <c r="J123" s="442" t="str">
        <f>IF('User defined standard values'!J12&lt;&gt;"",'User defined standard values'!J12, "")</f>
        <v/>
      </c>
      <c r="K123" s="442" t="str">
        <f>IF('User defined standard values'!K12&lt;&gt;"",'User defined standard values'!K12, "")</f>
        <v/>
      </c>
      <c r="L123" s="307">
        <f>IF('User defined standard values'!L12&lt;&gt;"",'User defined standard values'!L12, "")</f>
        <v>0</v>
      </c>
      <c r="M123" s="218" t="str">
        <f>IF('User defined standard values'!M12&lt;&gt;"",'User defined standard values'!M12, "")</f>
        <v/>
      </c>
      <c r="N123" s="442" t="str">
        <f>IF('User defined standard values'!N12&lt;&gt;"",'User defined standard values'!N12, "")</f>
        <v/>
      </c>
      <c r="O123" s="509" t="str">
        <f>IF('User defined standard values'!O12&lt;&gt;"",'User defined standard values'!O12, "")</f>
        <v/>
      </c>
      <c r="P123" s="439" t="str">
        <f>IF('User defined standard values'!P12&lt;&gt;"",'User defined standard values'!P12, "")</f>
        <v/>
      </c>
      <c r="Q123" s="218" t="str">
        <f>IF('User defined standard values'!Q12&lt;&gt;"",'User defined standard values'!Q12, "")</f>
        <v/>
      </c>
      <c r="R123" s="441" t="str">
        <f>IF('User defined standard values'!R12&lt;&gt;"",'User defined standard values'!R12, "")</f>
        <v/>
      </c>
      <c r="S123" s="517" t="str">
        <f>IF('User defined standard values'!S12&lt;&gt;"",'User defined standard values'!S12, "")</f>
        <v/>
      </c>
      <c r="T123" s="305" t="str">
        <f>IF('User defined standard values'!T12&lt;&gt;"",'User defined standard values'!T12, "")</f>
        <v>Ecoinvent database</v>
      </c>
      <c r="U123" s="308" t="str">
        <f>IF('User defined standard values'!U12&lt;&gt;"",'User defined standard values'!U12, "")</f>
        <v>Carried by …, review by …, representatif of ….</v>
      </c>
    </row>
    <row r="124" spans="1:21">
      <c r="A124" s="215"/>
      <c r="B124" s="306"/>
      <c r="C124" s="438" t="str">
        <f>IF('User defined standard values'!C13&lt;&gt;"",'User defined standard values'!C13, "")</f>
        <v/>
      </c>
      <c r="D124" s="308"/>
      <c r="E124" s="440" t="str">
        <f>IF('User defined standard values'!E13&lt;&gt;"",'User defined standard values'!E13, "")</f>
        <v/>
      </c>
      <c r="F124" s="218" t="str">
        <f>IF('User defined standard values'!F13&lt;&gt;"",'User defined standard values'!F13, "")</f>
        <v/>
      </c>
      <c r="G124" s="442" t="str">
        <f>IF('User defined standard values'!G13&lt;&gt;"",'User defined standard values'!G13, "")</f>
        <v/>
      </c>
      <c r="H124" s="439">
        <f>IF('User defined standard values'!H13&lt;&gt;"",'User defined standard values'!H13, "")</f>
        <v>0</v>
      </c>
      <c r="I124" s="229" t="str">
        <f>IF('User defined standard values'!I13&lt;&gt;"",'User defined standard values'!I13, "")</f>
        <v/>
      </c>
      <c r="J124" s="442" t="str">
        <f>IF('User defined standard values'!J13&lt;&gt;"",'User defined standard values'!J13, "")</f>
        <v/>
      </c>
      <c r="K124" s="442" t="str">
        <f>IF('User defined standard values'!K13&lt;&gt;"",'User defined standard values'!K13, "")</f>
        <v/>
      </c>
      <c r="L124" s="307">
        <f>IF('User defined standard values'!L13&lt;&gt;"",'User defined standard values'!L13, "")</f>
        <v>0</v>
      </c>
      <c r="M124" s="218" t="str">
        <f>IF('User defined standard values'!M13&lt;&gt;"",'User defined standard values'!M13, "")</f>
        <v/>
      </c>
      <c r="N124" s="442" t="str">
        <f>IF('User defined standard values'!N13&lt;&gt;"",'User defined standard values'!N13, "")</f>
        <v/>
      </c>
      <c r="O124" s="509" t="str">
        <f>IF('User defined standard values'!O13&lt;&gt;"",'User defined standard values'!O13, "")</f>
        <v/>
      </c>
      <c r="P124" s="439" t="str">
        <f>IF('User defined standard values'!P13&lt;&gt;"",'User defined standard values'!P13, "")</f>
        <v/>
      </c>
      <c r="Q124" s="218" t="str">
        <f>IF('User defined standard values'!Q13&lt;&gt;"",'User defined standard values'!Q13, "")</f>
        <v/>
      </c>
      <c r="R124" s="441" t="str">
        <f>IF('User defined standard values'!R13&lt;&gt;"",'User defined standard values'!R13, "")</f>
        <v/>
      </c>
      <c r="S124" s="517" t="str">
        <f>IF('User defined standard values'!S13&lt;&gt;"",'User defined standard values'!S13, "")</f>
        <v/>
      </c>
      <c r="T124" s="305" t="str">
        <f>IF('User defined standard values'!T13&lt;&gt;"",'User defined standard values'!T13, "")</f>
        <v/>
      </c>
      <c r="U124" s="308" t="str">
        <f>IF('User defined standard values'!U13&lt;&gt;"",'User defined standard values'!U13, "")</f>
        <v/>
      </c>
    </row>
    <row r="125" spans="1:21">
      <c r="A125" s="215"/>
      <c r="B125" s="306"/>
      <c r="C125" s="438" t="str">
        <f>IF('User defined standard values'!C14&lt;&gt;"",'User defined standard values'!C14, "")</f>
        <v/>
      </c>
      <c r="D125" s="308"/>
      <c r="E125" s="440" t="str">
        <f>IF('User defined standard values'!E14&lt;&gt;"",'User defined standard values'!E14, "")</f>
        <v/>
      </c>
      <c r="F125" s="218" t="str">
        <f>IF('User defined standard values'!F14&lt;&gt;"",'User defined standard values'!F14, "")</f>
        <v/>
      </c>
      <c r="G125" s="442" t="str">
        <f>IF('User defined standard values'!G14&lt;&gt;"",'User defined standard values'!G14, "")</f>
        <v/>
      </c>
      <c r="H125" s="439">
        <f>IF('User defined standard values'!H14&lt;&gt;"",'User defined standard values'!H14, "")</f>
        <v>0</v>
      </c>
      <c r="I125" s="229" t="str">
        <f>IF('User defined standard values'!I14&lt;&gt;"",'User defined standard values'!I14, "")</f>
        <v/>
      </c>
      <c r="J125" s="442" t="str">
        <f>IF('User defined standard values'!J14&lt;&gt;"",'User defined standard values'!J14, "")</f>
        <v/>
      </c>
      <c r="K125" s="442" t="str">
        <f>IF('User defined standard values'!K14&lt;&gt;"",'User defined standard values'!K14, "")</f>
        <v/>
      </c>
      <c r="L125" s="307">
        <f>IF('User defined standard values'!L14&lt;&gt;"",'User defined standard values'!L14, "")</f>
        <v>0</v>
      </c>
      <c r="M125" s="218" t="str">
        <f>IF('User defined standard values'!M14&lt;&gt;"",'User defined standard values'!M14, "")</f>
        <v/>
      </c>
      <c r="N125" s="442" t="str">
        <f>IF('User defined standard values'!N14&lt;&gt;"",'User defined standard values'!N14, "")</f>
        <v/>
      </c>
      <c r="O125" s="509" t="str">
        <f>IF('User defined standard values'!O14&lt;&gt;"",'User defined standard values'!O14, "")</f>
        <v/>
      </c>
      <c r="P125" s="439" t="str">
        <f>IF('User defined standard values'!P14&lt;&gt;"",'User defined standard values'!P14, "")</f>
        <v/>
      </c>
      <c r="Q125" s="218" t="str">
        <f>IF('User defined standard values'!Q14&lt;&gt;"",'User defined standard values'!Q14, "")</f>
        <v/>
      </c>
      <c r="R125" s="441" t="str">
        <f>IF('User defined standard values'!R14&lt;&gt;"",'User defined standard values'!R14, "")</f>
        <v/>
      </c>
      <c r="S125" s="517" t="str">
        <f>IF('User defined standard values'!S14&lt;&gt;"",'User defined standard values'!S14, "")</f>
        <v/>
      </c>
      <c r="T125" s="305" t="str">
        <f>IF('User defined standard values'!T14&lt;&gt;"",'User defined standard values'!T14, "")</f>
        <v/>
      </c>
      <c r="U125" s="308" t="str">
        <f>IF('User defined standard values'!U14&lt;&gt;"",'User defined standard values'!U14, "")</f>
        <v/>
      </c>
    </row>
    <row r="126" spans="1:21">
      <c r="A126" s="215"/>
      <c r="B126" s="306"/>
      <c r="C126" s="438" t="str">
        <f>IF('User defined standard values'!C15&lt;&gt;"",'User defined standard values'!C15, "")</f>
        <v/>
      </c>
      <c r="D126" s="308"/>
      <c r="E126" s="440" t="str">
        <f>IF('User defined standard values'!E15&lt;&gt;"",'User defined standard values'!E15, "")</f>
        <v/>
      </c>
      <c r="F126" s="218" t="str">
        <f>IF('User defined standard values'!F15&lt;&gt;"",'User defined standard values'!F15, "")</f>
        <v/>
      </c>
      <c r="G126" s="442" t="str">
        <f>IF('User defined standard values'!G15&lt;&gt;"",'User defined standard values'!G15, "")</f>
        <v/>
      </c>
      <c r="H126" s="439">
        <f>IF('User defined standard values'!H15&lt;&gt;"",'User defined standard values'!H15, "")</f>
        <v>0</v>
      </c>
      <c r="I126" s="229" t="str">
        <f>IF('User defined standard values'!I15&lt;&gt;"",'User defined standard values'!I15, "")</f>
        <v/>
      </c>
      <c r="J126" s="442" t="str">
        <f>IF('User defined standard values'!J15&lt;&gt;"",'User defined standard values'!J15, "")</f>
        <v/>
      </c>
      <c r="K126" s="442" t="str">
        <f>IF('User defined standard values'!K15&lt;&gt;"",'User defined standard values'!K15, "")</f>
        <v/>
      </c>
      <c r="L126" s="307">
        <f>IF('User defined standard values'!L15&lt;&gt;"",'User defined standard values'!L15, "")</f>
        <v>0</v>
      </c>
      <c r="M126" s="218" t="str">
        <f>IF('User defined standard values'!M15&lt;&gt;"",'User defined standard values'!M15, "")</f>
        <v/>
      </c>
      <c r="N126" s="442" t="str">
        <f>IF('User defined standard values'!N15&lt;&gt;"",'User defined standard values'!N15, "")</f>
        <v/>
      </c>
      <c r="O126" s="509" t="str">
        <f>IF('User defined standard values'!O15&lt;&gt;"",'User defined standard values'!O15, "")</f>
        <v/>
      </c>
      <c r="P126" s="439" t="str">
        <f>IF('User defined standard values'!P15&lt;&gt;"",'User defined standard values'!P15, "")</f>
        <v/>
      </c>
      <c r="Q126" s="218" t="str">
        <f>IF('User defined standard values'!Q15&lt;&gt;"",'User defined standard values'!Q15, "")</f>
        <v/>
      </c>
      <c r="R126" s="441" t="str">
        <f>IF('User defined standard values'!R15&lt;&gt;"",'User defined standard values'!R15, "")</f>
        <v/>
      </c>
      <c r="S126" s="517" t="str">
        <f>IF('User defined standard values'!S15&lt;&gt;"",'User defined standard values'!S15, "")</f>
        <v/>
      </c>
      <c r="T126" s="305" t="str">
        <f>IF('User defined standard values'!T15&lt;&gt;"",'User defined standard values'!T15, "")</f>
        <v/>
      </c>
      <c r="U126" s="308" t="str">
        <f>IF('User defined standard values'!U15&lt;&gt;"",'User defined standard values'!U15, "")</f>
        <v/>
      </c>
    </row>
    <row r="127" spans="1:21">
      <c r="A127" s="215"/>
      <c r="B127" s="306"/>
      <c r="C127" s="438" t="str">
        <f>IF('User defined standard values'!C16&lt;&gt;"",'User defined standard values'!C16, "")</f>
        <v/>
      </c>
      <c r="D127" s="308"/>
      <c r="E127" s="440" t="str">
        <f>IF('User defined standard values'!E16&lt;&gt;"",'User defined standard values'!E16, "")</f>
        <v/>
      </c>
      <c r="F127" s="218" t="str">
        <f>IF('User defined standard values'!F16&lt;&gt;"",'User defined standard values'!F16, "")</f>
        <v/>
      </c>
      <c r="G127" s="442" t="str">
        <f>IF('User defined standard values'!G16&lt;&gt;"",'User defined standard values'!G16, "")</f>
        <v/>
      </c>
      <c r="H127" s="439">
        <f>IF('User defined standard values'!H16&lt;&gt;"",'User defined standard values'!H16, "")</f>
        <v>0</v>
      </c>
      <c r="I127" s="229" t="str">
        <f>IF('User defined standard values'!I16&lt;&gt;"",'User defined standard values'!I16, "")</f>
        <v/>
      </c>
      <c r="J127" s="442" t="str">
        <f>IF('User defined standard values'!J16&lt;&gt;"",'User defined standard values'!J16, "")</f>
        <v/>
      </c>
      <c r="K127" s="442" t="str">
        <f>IF('User defined standard values'!K16&lt;&gt;"",'User defined standard values'!K16, "")</f>
        <v/>
      </c>
      <c r="L127" s="307">
        <f>IF('User defined standard values'!L16&lt;&gt;"",'User defined standard values'!L16, "")</f>
        <v>0</v>
      </c>
      <c r="M127" s="218" t="str">
        <f>IF('User defined standard values'!M16&lt;&gt;"",'User defined standard values'!M16, "")</f>
        <v/>
      </c>
      <c r="N127" s="442" t="str">
        <f>IF('User defined standard values'!N16&lt;&gt;"",'User defined standard values'!N16, "")</f>
        <v/>
      </c>
      <c r="O127" s="509" t="str">
        <f>IF('User defined standard values'!O16&lt;&gt;"",'User defined standard values'!O16, "")</f>
        <v/>
      </c>
      <c r="P127" s="439" t="str">
        <f>IF('User defined standard values'!P16&lt;&gt;"",'User defined standard values'!P16, "")</f>
        <v/>
      </c>
      <c r="Q127" s="218" t="str">
        <f>IF('User defined standard values'!Q16&lt;&gt;"",'User defined standard values'!Q16, "")</f>
        <v/>
      </c>
      <c r="R127" s="441" t="str">
        <f>IF('User defined standard values'!R16&lt;&gt;"",'User defined standard values'!R16, "")</f>
        <v/>
      </c>
      <c r="S127" s="517" t="str">
        <f>IF('User defined standard values'!S16&lt;&gt;"",'User defined standard values'!S16, "")</f>
        <v/>
      </c>
      <c r="T127" s="305" t="str">
        <f>IF('User defined standard values'!T16&lt;&gt;"",'User defined standard values'!T16, "")</f>
        <v/>
      </c>
      <c r="U127" s="308" t="str">
        <f>IF('User defined standard values'!U16&lt;&gt;"",'User defined standard values'!U16, "")</f>
        <v/>
      </c>
    </row>
    <row r="128" spans="1:21">
      <c r="A128" s="215"/>
      <c r="B128" s="306"/>
      <c r="C128" s="438" t="str">
        <f>IF('User defined standard values'!C17&lt;&gt;"",'User defined standard values'!C17, "")</f>
        <v/>
      </c>
      <c r="D128" s="308"/>
      <c r="E128" s="440" t="str">
        <f>IF('User defined standard values'!E17&lt;&gt;"",'User defined standard values'!E17, "")</f>
        <v/>
      </c>
      <c r="F128" s="218" t="str">
        <f>IF('User defined standard values'!F17&lt;&gt;"",'User defined standard values'!F17, "")</f>
        <v/>
      </c>
      <c r="G128" s="442" t="str">
        <f>IF('User defined standard values'!G17&lt;&gt;"",'User defined standard values'!G17, "")</f>
        <v/>
      </c>
      <c r="H128" s="439">
        <f>IF('User defined standard values'!H17&lt;&gt;"",'User defined standard values'!H17, "")</f>
        <v>0</v>
      </c>
      <c r="I128" s="229" t="str">
        <f>IF('User defined standard values'!I17&lt;&gt;"",'User defined standard values'!I17, "")</f>
        <v/>
      </c>
      <c r="J128" s="442" t="str">
        <f>IF('User defined standard values'!J17&lt;&gt;"",'User defined standard values'!J17, "")</f>
        <v/>
      </c>
      <c r="K128" s="442" t="str">
        <f>IF('User defined standard values'!K17&lt;&gt;"",'User defined standard values'!K17, "")</f>
        <v/>
      </c>
      <c r="L128" s="307">
        <f>IF('User defined standard values'!L17&lt;&gt;"",'User defined standard values'!L17, "")</f>
        <v>0</v>
      </c>
      <c r="M128" s="218" t="str">
        <f>IF('User defined standard values'!M17&lt;&gt;"",'User defined standard values'!M17, "")</f>
        <v/>
      </c>
      <c r="N128" s="442" t="str">
        <f>IF('User defined standard values'!N17&lt;&gt;"",'User defined standard values'!N17, "")</f>
        <v/>
      </c>
      <c r="O128" s="509" t="str">
        <f>IF('User defined standard values'!O17&lt;&gt;"",'User defined standard values'!O17, "")</f>
        <v/>
      </c>
      <c r="P128" s="439" t="str">
        <f>IF('User defined standard values'!P17&lt;&gt;"",'User defined standard values'!P17, "")</f>
        <v/>
      </c>
      <c r="Q128" s="218" t="str">
        <f>IF('User defined standard values'!Q17&lt;&gt;"",'User defined standard values'!Q17, "")</f>
        <v/>
      </c>
      <c r="R128" s="441" t="str">
        <f>IF('User defined standard values'!R17&lt;&gt;"",'User defined standard values'!R17, "")</f>
        <v/>
      </c>
      <c r="S128" s="517" t="str">
        <f>IF('User defined standard values'!S17&lt;&gt;"",'User defined standard values'!S17, "")</f>
        <v/>
      </c>
      <c r="T128" s="305" t="str">
        <f>IF('User defined standard values'!T17&lt;&gt;"",'User defined standard values'!T17, "")</f>
        <v/>
      </c>
      <c r="U128" s="308" t="str">
        <f>IF('User defined standard values'!U17&lt;&gt;"",'User defined standard values'!U17, "")</f>
        <v/>
      </c>
    </row>
    <row r="129" spans="1:21">
      <c r="A129" s="215"/>
      <c r="B129" s="306"/>
      <c r="C129" s="438" t="str">
        <f>IF('User defined standard values'!C18&lt;&gt;"",'User defined standard values'!C18, "")</f>
        <v/>
      </c>
      <c r="D129" s="308"/>
      <c r="E129" s="440" t="str">
        <f>IF('User defined standard values'!E18&lt;&gt;"",'User defined standard values'!E18, "")</f>
        <v/>
      </c>
      <c r="F129" s="218" t="str">
        <f>IF('User defined standard values'!F18&lt;&gt;"",'User defined standard values'!F18, "")</f>
        <v/>
      </c>
      <c r="G129" s="442" t="str">
        <f>IF('User defined standard values'!G18&lt;&gt;"",'User defined standard values'!G18, "")</f>
        <v/>
      </c>
      <c r="H129" s="439">
        <f>IF('User defined standard values'!H18&lt;&gt;"",'User defined standard values'!H18, "")</f>
        <v>0</v>
      </c>
      <c r="I129" s="229" t="str">
        <f>IF('User defined standard values'!I18&lt;&gt;"",'User defined standard values'!I18, "")</f>
        <v/>
      </c>
      <c r="J129" s="442" t="str">
        <f>IF('User defined standard values'!J18&lt;&gt;"",'User defined standard values'!J18, "")</f>
        <v/>
      </c>
      <c r="K129" s="442" t="str">
        <f>IF('User defined standard values'!K18&lt;&gt;"",'User defined standard values'!K18, "")</f>
        <v/>
      </c>
      <c r="L129" s="307">
        <f>IF('User defined standard values'!L18&lt;&gt;"",'User defined standard values'!L18, "")</f>
        <v>0</v>
      </c>
      <c r="M129" s="218" t="str">
        <f>IF('User defined standard values'!M18&lt;&gt;"",'User defined standard values'!M18, "")</f>
        <v/>
      </c>
      <c r="N129" s="442" t="str">
        <f>IF('User defined standard values'!N18&lt;&gt;"",'User defined standard values'!N18, "")</f>
        <v/>
      </c>
      <c r="O129" s="509" t="str">
        <f>IF('User defined standard values'!O18&lt;&gt;"",'User defined standard values'!O18, "")</f>
        <v/>
      </c>
      <c r="P129" s="439" t="str">
        <f>IF('User defined standard values'!P18&lt;&gt;"",'User defined standard values'!P18, "")</f>
        <v/>
      </c>
      <c r="Q129" s="218" t="str">
        <f>IF('User defined standard values'!Q18&lt;&gt;"",'User defined standard values'!Q18, "")</f>
        <v/>
      </c>
      <c r="R129" s="441" t="str">
        <f>IF('User defined standard values'!R18&lt;&gt;"",'User defined standard values'!R18, "")</f>
        <v/>
      </c>
      <c r="S129" s="517" t="str">
        <f>IF('User defined standard values'!S18&lt;&gt;"",'User defined standard values'!S18, "")</f>
        <v/>
      </c>
      <c r="T129" s="305" t="str">
        <f>IF('User defined standard values'!T18&lt;&gt;"",'User defined standard values'!T18, "")</f>
        <v/>
      </c>
      <c r="U129" s="308" t="str">
        <f>IF('User defined standard values'!U18&lt;&gt;"",'User defined standard values'!U18, "")</f>
        <v/>
      </c>
    </row>
    <row r="130" spans="1:21">
      <c r="A130" s="215"/>
      <c r="B130" s="306"/>
      <c r="C130" s="438" t="str">
        <f>IF('User defined standard values'!C19&lt;&gt;"",'User defined standard values'!C19, "")</f>
        <v/>
      </c>
      <c r="D130" s="308"/>
      <c r="E130" s="440" t="str">
        <f>IF('User defined standard values'!E19&lt;&gt;"",'User defined standard values'!E19, "")</f>
        <v/>
      </c>
      <c r="F130" s="218" t="str">
        <f>IF('User defined standard values'!F19&lt;&gt;"",'User defined standard values'!F19, "")</f>
        <v/>
      </c>
      <c r="G130" s="442" t="str">
        <f>IF('User defined standard values'!G19&lt;&gt;"",'User defined standard values'!G19, "")</f>
        <v/>
      </c>
      <c r="H130" s="439">
        <f>IF('User defined standard values'!H19&lt;&gt;"",'User defined standard values'!H19, "")</f>
        <v>0</v>
      </c>
      <c r="I130" s="229" t="str">
        <f>IF('User defined standard values'!I19&lt;&gt;"",'User defined standard values'!I19, "")</f>
        <v/>
      </c>
      <c r="J130" s="442" t="str">
        <f>IF('User defined standard values'!J19&lt;&gt;"",'User defined standard values'!J19, "")</f>
        <v/>
      </c>
      <c r="K130" s="442" t="str">
        <f>IF('User defined standard values'!K19&lt;&gt;"",'User defined standard values'!K19, "")</f>
        <v/>
      </c>
      <c r="L130" s="307">
        <f>IF('User defined standard values'!L19&lt;&gt;"",'User defined standard values'!L19, "")</f>
        <v>0</v>
      </c>
      <c r="M130" s="218" t="str">
        <f>IF('User defined standard values'!M19&lt;&gt;"",'User defined standard values'!M19, "")</f>
        <v/>
      </c>
      <c r="N130" s="442" t="str">
        <f>IF('User defined standard values'!N19&lt;&gt;"",'User defined standard values'!N19, "")</f>
        <v/>
      </c>
      <c r="O130" s="509" t="str">
        <f>IF('User defined standard values'!O19&lt;&gt;"",'User defined standard values'!O19, "")</f>
        <v/>
      </c>
      <c r="P130" s="439" t="str">
        <f>IF('User defined standard values'!P19&lt;&gt;"",'User defined standard values'!P19, "")</f>
        <v/>
      </c>
      <c r="Q130" s="218" t="str">
        <f>IF('User defined standard values'!Q19&lt;&gt;"",'User defined standard values'!Q19, "")</f>
        <v/>
      </c>
      <c r="R130" s="441" t="str">
        <f>IF('User defined standard values'!R19&lt;&gt;"",'User defined standard values'!R19, "")</f>
        <v/>
      </c>
      <c r="S130" s="517" t="str">
        <f>IF('User defined standard values'!S19&lt;&gt;"",'User defined standard values'!S19, "")</f>
        <v/>
      </c>
      <c r="T130" s="305" t="str">
        <f>IF('User defined standard values'!T19&lt;&gt;"",'User defined standard values'!T19, "")</f>
        <v/>
      </c>
      <c r="U130" s="308" t="str">
        <f>IF('User defined standard values'!U19&lt;&gt;"",'User defined standard values'!U19, "")</f>
        <v/>
      </c>
    </row>
    <row r="131" spans="1:21">
      <c r="A131" s="215"/>
      <c r="B131" s="306"/>
      <c r="C131" s="438" t="str">
        <f>IF('User defined standard values'!C20&lt;&gt;"",'User defined standard values'!C20, "")</f>
        <v/>
      </c>
      <c r="D131" s="308"/>
      <c r="E131" s="440" t="str">
        <f>IF('User defined standard values'!E20&lt;&gt;"",'User defined standard values'!E20, "")</f>
        <v/>
      </c>
      <c r="F131" s="218" t="str">
        <f>IF('User defined standard values'!F20&lt;&gt;"",'User defined standard values'!F20, "")</f>
        <v/>
      </c>
      <c r="G131" s="442" t="str">
        <f>IF('User defined standard values'!G20&lt;&gt;"",'User defined standard values'!G20, "")</f>
        <v/>
      </c>
      <c r="H131" s="439">
        <f>IF('User defined standard values'!H20&lt;&gt;"",'User defined standard values'!H20, "")</f>
        <v>0</v>
      </c>
      <c r="I131" s="229" t="str">
        <f>IF('User defined standard values'!I20&lt;&gt;"",'User defined standard values'!I20, "")</f>
        <v/>
      </c>
      <c r="J131" s="442" t="str">
        <f>IF('User defined standard values'!J20&lt;&gt;"",'User defined standard values'!J20, "")</f>
        <v/>
      </c>
      <c r="K131" s="442" t="str">
        <f>IF('User defined standard values'!K20&lt;&gt;"",'User defined standard values'!K20, "")</f>
        <v/>
      </c>
      <c r="L131" s="307">
        <f>IF('User defined standard values'!L20&lt;&gt;"",'User defined standard values'!L20, "")</f>
        <v>0</v>
      </c>
      <c r="M131" s="218" t="str">
        <f>IF('User defined standard values'!M20&lt;&gt;"",'User defined standard values'!M20, "")</f>
        <v/>
      </c>
      <c r="N131" s="442" t="str">
        <f>IF('User defined standard values'!N20&lt;&gt;"",'User defined standard values'!N20, "")</f>
        <v/>
      </c>
      <c r="O131" s="509" t="str">
        <f>IF('User defined standard values'!O20&lt;&gt;"",'User defined standard values'!O20, "")</f>
        <v/>
      </c>
      <c r="P131" s="439" t="str">
        <f>IF('User defined standard values'!P20&lt;&gt;"",'User defined standard values'!P20, "")</f>
        <v/>
      </c>
      <c r="Q131" s="218" t="str">
        <f>IF('User defined standard values'!Q20&lt;&gt;"",'User defined standard values'!Q20, "")</f>
        <v/>
      </c>
      <c r="R131" s="441" t="str">
        <f>IF('User defined standard values'!R20&lt;&gt;"",'User defined standard values'!R20, "")</f>
        <v/>
      </c>
      <c r="S131" s="517" t="str">
        <f>IF('User defined standard values'!S20&lt;&gt;"",'User defined standard values'!S20, "")</f>
        <v/>
      </c>
      <c r="T131" s="305" t="str">
        <f>IF('User defined standard values'!T20&lt;&gt;"",'User defined standard values'!T20, "")</f>
        <v/>
      </c>
      <c r="U131" s="308" t="str">
        <f>IF('User defined standard values'!U20&lt;&gt;"",'User defined standard values'!U20, "")</f>
        <v/>
      </c>
    </row>
    <row r="132" spans="1:21">
      <c r="A132" s="215"/>
      <c r="B132" s="306"/>
      <c r="C132" s="438" t="str">
        <f>IF('User defined standard values'!C21&lt;&gt;"",'User defined standard values'!C21, "")</f>
        <v/>
      </c>
      <c r="D132" s="308"/>
      <c r="E132" s="440" t="str">
        <f>IF('User defined standard values'!E21&lt;&gt;"",'User defined standard values'!E21, "")</f>
        <v/>
      </c>
      <c r="F132" s="218" t="str">
        <f>IF('User defined standard values'!F21&lt;&gt;"",'User defined standard values'!F21, "")</f>
        <v/>
      </c>
      <c r="G132" s="442" t="str">
        <f>IF('User defined standard values'!G21&lt;&gt;"",'User defined standard values'!G21, "")</f>
        <v/>
      </c>
      <c r="H132" s="439">
        <f>IF('User defined standard values'!H21&lt;&gt;"",'User defined standard values'!H21, "")</f>
        <v>0</v>
      </c>
      <c r="I132" s="229" t="str">
        <f>IF('User defined standard values'!I21&lt;&gt;"",'User defined standard values'!I21, "")</f>
        <v/>
      </c>
      <c r="J132" s="442" t="str">
        <f>IF('User defined standard values'!J21&lt;&gt;"",'User defined standard values'!J21, "")</f>
        <v/>
      </c>
      <c r="K132" s="442" t="str">
        <f>IF('User defined standard values'!K21&lt;&gt;"",'User defined standard values'!K21, "")</f>
        <v/>
      </c>
      <c r="L132" s="307">
        <f>IF('User defined standard values'!L21&lt;&gt;"",'User defined standard values'!L21, "")</f>
        <v>0</v>
      </c>
      <c r="M132" s="218" t="str">
        <f>IF('User defined standard values'!M21&lt;&gt;"",'User defined standard values'!M21, "")</f>
        <v/>
      </c>
      <c r="N132" s="442" t="str">
        <f>IF('User defined standard values'!N21&lt;&gt;"",'User defined standard values'!N21, "")</f>
        <v/>
      </c>
      <c r="O132" s="509" t="str">
        <f>IF('User defined standard values'!O21&lt;&gt;"",'User defined standard values'!O21, "")</f>
        <v/>
      </c>
      <c r="P132" s="439" t="str">
        <f>IF('User defined standard values'!P21&lt;&gt;"",'User defined standard values'!P21, "")</f>
        <v/>
      </c>
      <c r="Q132" s="218" t="str">
        <f>IF('User defined standard values'!Q21&lt;&gt;"",'User defined standard values'!Q21, "")</f>
        <v/>
      </c>
      <c r="R132" s="441" t="str">
        <f>IF('User defined standard values'!R21&lt;&gt;"",'User defined standard values'!R21, "")</f>
        <v/>
      </c>
      <c r="S132" s="517" t="str">
        <f>IF('User defined standard values'!S21&lt;&gt;"",'User defined standard values'!S21, "")</f>
        <v/>
      </c>
      <c r="T132" s="305" t="str">
        <f>IF('User defined standard values'!T21&lt;&gt;"",'User defined standard values'!T21, "")</f>
        <v/>
      </c>
      <c r="U132" s="308" t="str">
        <f>IF('User defined standard values'!U21&lt;&gt;"",'User defined standard values'!U21, "")</f>
        <v/>
      </c>
    </row>
    <row r="133" spans="1:21">
      <c r="A133" s="215"/>
      <c r="B133" s="306"/>
      <c r="C133" s="438" t="str">
        <f>IF('User defined standard values'!C22&lt;&gt;"",'User defined standard values'!C22, "")</f>
        <v/>
      </c>
      <c r="D133" s="308"/>
      <c r="E133" s="440" t="str">
        <f>IF('User defined standard values'!E22&lt;&gt;"",'User defined standard values'!E22, "")</f>
        <v/>
      </c>
      <c r="F133" s="218" t="str">
        <f>IF('User defined standard values'!F22&lt;&gt;"",'User defined standard values'!F22, "")</f>
        <v/>
      </c>
      <c r="G133" s="442" t="str">
        <f>IF('User defined standard values'!G22&lt;&gt;"",'User defined standard values'!G22, "")</f>
        <v/>
      </c>
      <c r="H133" s="439">
        <f>IF('User defined standard values'!H22&lt;&gt;"",'User defined standard values'!H22, "")</f>
        <v>0</v>
      </c>
      <c r="I133" s="229" t="str">
        <f>IF('User defined standard values'!I22&lt;&gt;"",'User defined standard values'!I22, "")</f>
        <v/>
      </c>
      <c r="J133" s="442" t="str">
        <f>IF('User defined standard values'!J22&lt;&gt;"",'User defined standard values'!J22, "")</f>
        <v/>
      </c>
      <c r="K133" s="442" t="str">
        <f>IF('User defined standard values'!K22&lt;&gt;"",'User defined standard values'!K22, "")</f>
        <v/>
      </c>
      <c r="L133" s="307">
        <f>IF('User defined standard values'!L22&lt;&gt;"",'User defined standard values'!L22, "")</f>
        <v>0</v>
      </c>
      <c r="M133" s="218" t="str">
        <f>IF('User defined standard values'!M22&lt;&gt;"",'User defined standard values'!M22, "")</f>
        <v/>
      </c>
      <c r="N133" s="442" t="str">
        <f>IF('User defined standard values'!N22&lt;&gt;"",'User defined standard values'!N22, "")</f>
        <v/>
      </c>
      <c r="O133" s="509" t="str">
        <f>IF('User defined standard values'!O22&lt;&gt;"",'User defined standard values'!O22, "")</f>
        <v/>
      </c>
      <c r="P133" s="439" t="str">
        <f>IF('User defined standard values'!P22&lt;&gt;"",'User defined standard values'!P22, "")</f>
        <v/>
      </c>
      <c r="Q133" s="218" t="str">
        <f>IF('User defined standard values'!Q22&lt;&gt;"",'User defined standard values'!Q22, "")</f>
        <v/>
      </c>
      <c r="R133" s="441" t="str">
        <f>IF('User defined standard values'!R22&lt;&gt;"",'User defined standard values'!R22, "")</f>
        <v/>
      </c>
      <c r="S133" s="517" t="str">
        <f>IF('User defined standard values'!S22&lt;&gt;"",'User defined standard values'!S22, "")</f>
        <v/>
      </c>
      <c r="T133" s="305" t="str">
        <f>IF('User defined standard values'!T22&lt;&gt;"",'User defined standard values'!T22, "")</f>
        <v/>
      </c>
      <c r="U133" s="308" t="str">
        <f>IF('User defined standard values'!U22&lt;&gt;"",'User defined standard values'!U22, "")</f>
        <v/>
      </c>
    </row>
    <row r="134" spans="1:21">
      <c r="A134" s="215"/>
      <c r="B134" s="306"/>
      <c r="C134" s="438" t="str">
        <f>IF('User defined standard values'!C23&lt;&gt;"",'User defined standard values'!C23, "")</f>
        <v/>
      </c>
      <c r="D134" s="308"/>
      <c r="E134" s="440" t="str">
        <f>IF('User defined standard values'!E23&lt;&gt;"",'User defined standard values'!E23, "")</f>
        <v/>
      </c>
      <c r="F134" s="218" t="str">
        <f>IF('User defined standard values'!F23&lt;&gt;"",'User defined standard values'!F23, "")</f>
        <v/>
      </c>
      <c r="G134" s="442" t="str">
        <f>IF('User defined standard values'!G23&lt;&gt;"",'User defined standard values'!G23, "")</f>
        <v/>
      </c>
      <c r="H134" s="439">
        <f>IF('User defined standard values'!H23&lt;&gt;"",'User defined standard values'!H23, "")</f>
        <v>0</v>
      </c>
      <c r="I134" s="229" t="str">
        <f>IF('User defined standard values'!I23&lt;&gt;"",'User defined standard values'!I23, "")</f>
        <v/>
      </c>
      <c r="J134" s="442" t="str">
        <f>IF('User defined standard values'!J23&lt;&gt;"",'User defined standard values'!J23, "")</f>
        <v/>
      </c>
      <c r="K134" s="442" t="str">
        <f>IF('User defined standard values'!K23&lt;&gt;"",'User defined standard values'!K23, "")</f>
        <v/>
      </c>
      <c r="L134" s="307">
        <f>IF('User defined standard values'!L23&lt;&gt;"",'User defined standard values'!L23, "")</f>
        <v>0</v>
      </c>
      <c r="M134" s="218" t="str">
        <f>IF('User defined standard values'!M23&lt;&gt;"",'User defined standard values'!M23, "")</f>
        <v/>
      </c>
      <c r="N134" s="442" t="str">
        <f>IF('User defined standard values'!N23&lt;&gt;"",'User defined standard values'!N23, "")</f>
        <v/>
      </c>
      <c r="O134" s="509" t="str">
        <f>IF('User defined standard values'!O23&lt;&gt;"",'User defined standard values'!O23, "")</f>
        <v/>
      </c>
      <c r="P134" s="439" t="str">
        <f>IF('User defined standard values'!P23&lt;&gt;"",'User defined standard values'!P23, "")</f>
        <v/>
      </c>
      <c r="Q134" s="218" t="str">
        <f>IF('User defined standard values'!Q23&lt;&gt;"",'User defined standard values'!Q23, "")</f>
        <v/>
      </c>
      <c r="R134" s="441" t="str">
        <f>IF('User defined standard values'!R23&lt;&gt;"",'User defined standard values'!R23, "")</f>
        <v/>
      </c>
      <c r="S134" s="517" t="str">
        <f>IF('User defined standard values'!S23&lt;&gt;"",'User defined standard values'!S23, "")</f>
        <v/>
      </c>
      <c r="T134" s="305" t="str">
        <f>IF('User defined standard values'!T23&lt;&gt;"",'User defined standard values'!T23, "")</f>
        <v/>
      </c>
      <c r="U134" s="308" t="str">
        <f>IF('User defined standard values'!U23&lt;&gt;"",'User defined standard values'!U23, "")</f>
        <v/>
      </c>
    </row>
    <row r="135" spans="1:21">
      <c r="A135" s="215"/>
      <c r="B135" s="306"/>
      <c r="C135" s="438" t="str">
        <f>IF('User defined standard values'!C24&lt;&gt;"",'User defined standard values'!C24, "")</f>
        <v/>
      </c>
      <c r="D135" s="308"/>
      <c r="E135" s="440" t="str">
        <f>IF('User defined standard values'!E24&lt;&gt;"",'User defined standard values'!E24, "")</f>
        <v/>
      </c>
      <c r="F135" s="218" t="str">
        <f>IF('User defined standard values'!F24&lt;&gt;"",'User defined standard values'!F24, "")</f>
        <v/>
      </c>
      <c r="G135" s="442" t="str">
        <f>IF('User defined standard values'!G24&lt;&gt;"",'User defined standard values'!G24, "")</f>
        <v/>
      </c>
      <c r="H135" s="439">
        <f>IF('User defined standard values'!H24&lt;&gt;"",'User defined standard values'!H24, "")</f>
        <v>0</v>
      </c>
      <c r="I135" s="229" t="str">
        <f>IF('User defined standard values'!I24&lt;&gt;"",'User defined standard values'!I24, "")</f>
        <v/>
      </c>
      <c r="J135" s="442" t="str">
        <f>IF('User defined standard values'!J24&lt;&gt;"",'User defined standard values'!J24, "")</f>
        <v/>
      </c>
      <c r="K135" s="442" t="str">
        <f>IF('User defined standard values'!K24&lt;&gt;"",'User defined standard values'!K24, "")</f>
        <v/>
      </c>
      <c r="L135" s="307">
        <f>IF('User defined standard values'!L24&lt;&gt;"",'User defined standard values'!L24, "")</f>
        <v>0</v>
      </c>
      <c r="M135" s="218" t="str">
        <f>IF('User defined standard values'!M24&lt;&gt;"",'User defined standard values'!M24, "")</f>
        <v/>
      </c>
      <c r="N135" s="442" t="str">
        <f>IF('User defined standard values'!N24&lt;&gt;"",'User defined standard values'!N24, "")</f>
        <v/>
      </c>
      <c r="O135" s="509" t="str">
        <f>IF('User defined standard values'!O24&lt;&gt;"",'User defined standard values'!O24, "")</f>
        <v/>
      </c>
      <c r="P135" s="439" t="str">
        <f>IF('User defined standard values'!P24&lt;&gt;"",'User defined standard values'!P24, "")</f>
        <v/>
      </c>
      <c r="Q135" s="218" t="str">
        <f>IF('User defined standard values'!Q24&lt;&gt;"",'User defined standard values'!Q24, "")</f>
        <v/>
      </c>
      <c r="R135" s="441" t="str">
        <f>IF('User defined standard values'!R24&lt;&gt;"",'User defined standard values'!R24, "")</f>
        <v/>
      </c>
      <c r="S135" s="517" t="str">
        <f>IF('User defined standard values'!S24&lt;&gt;"",'User defined standard values'!S24, "")</f>
        <v/>
      </c>
      <c r="T135" s="305" t="str">
        <f>IF('User defined standard values'!T24&lt;&gt;"",'User defined standard values'!T24, "")</f>
        <v/>
      </c>
      <c r="U135" s="308" t="str">
        <f>IF('User defined standard values'!U24&lt;&gt;"",'User defined standard values'!U24, "")</f>
        <v/>
      </c>
    </row>
    <row r="136" spans="1:21">
      <c r="A136" s="215"/>
      <c r="B136" s="306"/>
      <c r="C136" s="438" t="str">
        <f>IF('User defined standard values'!C25&lt;&gt;"",'User defined standard values'!C25, "")</f>
        <v/>
      </c>
      <c r="D136" s="308"/>
      <c r="E136" s="440" t="str">
        <f>IF('User defined standard values'!E25&lt;&gt;"",'User defined standard values'!E25, "")</f>
        <v/>
      </c>
      <c r="F136" s="218" t="str">
        <f>IF('User defined standard values'!F25&lt;&gt;"",'User defined standard values'!F25, "")</f>
        <v/>
      </c>
      <c r="G136" s="442" t="str">
        <f>IF('User defined standard values'!G25&lt;&gt;"",'User defined standard values'!G25, "")</f>
        <v/>
      </c>
      <c r="H136" s="439">
        <f>IF('User defined standard values'!H25&lt;&gt;"",'User defined standard values'!H25, "")</f>
        <v>0</v>
      </c>
      <c r="I136" s="229" t="str">
        <f>IF('User defined standard values'!I25&lt;&gt;"",'User defined standard values'!I25, "")</f>
        <v/>
      </c>
      <c r="J136" s="442" t="str">
        <f>IF('User defined standard values'!J25&lt;&gt;"",'User defined standard values'!J25, "")</f>
        <v/>
      </c>
      <c r="K136" s="442" t="str">
        <f>IF('User defined standard values'!K25&lt;&gt;"",'User defined standard values'!K25, "")</f>
        <v/>
      </c>
      <c r="L136" s="307">
        <f>IF('User defined standard values'!L25&lt;&gt;"",'User defined standard values'!L25, "")</f>
        <v>0</v>
      </c>
      <c r="M136" s="218" t="str">
        <f>IF('User defined standard values'!M25&lt;&gt;"",'User defined standard values'!M25, "")</f>
        <v/>
      </c>
      <c r="N136" s="442" t="str">
        <f>IF('User defined standard values'!N25&lt;&gt;"",'User defined standard values'!N25, "")</f>
        <v/>
      </c>
      <c r="O136" s="509" t="str">
        <f>IF('User defined standard values'!O25&lt;&gt;"",'User defined standard values'!O25, "")</f>
        <v/>
      </c>
      <c r="P136" s="439" t="str">
        <f>IF('User defined standard values'!P25&lt;&gt;"",'User defined standard values'!P25, "")</f>
        <v/>
      </c>
      <c r="Q136" s="218" t="str">
        <f>IF('User defined standard values'!Q25&lt;&gt;"",'User defined standard values'!Q25, "")</f>
        <v/>
      </c>
      <c r="R136" s="441" t="str">
        <f>IF('User defined standard values'!R25&lt;&gt;"",'User defined standard values'!R25, "")</f>
        <v/>
      </c>
      <c r="S136" s="517" t="str">
        <f>IF('User defined standard values'!S25&lt;&gt;"",'User defined standard values'!S25, "")</f>
        <v/>
      </c>
      <c r="T136" s="305" t="str">
        <f>IF('User defined standard values'!T25&lt;&gt;"",'User defined standard values'!T25, "")</f>
        <v/>
      </c>
      <c r="U136" s="308" t="str">
        <f>IF('User defined standard values'!U25&lt;&gt;"",'User defined standard values'!U25, "")</f>
        <v/>
      </c>
    </row>
    <row r="137" spans="1:21">
      <c r="A137" s="215"/>
      <c r="B137" s="306"/>
      <c r="C137" s="438" t="str">
        <f>IF('User defined standard values'!C26&lt;&gt;"",'User defined standard values'!C26, "")</f>
        <v/>
      </c>
      <c r="D137" s="308"/>
      <c r="E137" s="440" t="str">
        <f>IF('User defined standard values'!E26&lt;&gt;"",'User defined standard values'!E26, "")</f>
        <v/>
      </c>
      <c r="F137" s="218" t="str">
        <f>IF('User defined standard values'!F26&lt;&gt;"",'User defined standard values'!F26, "")</f>
        <v/>
      </c>
      <c r="G137" s="442" t="str">
        <f>IF('User defined standard values'!G26&lt;&gt;"",'User defined standard values'!G26, "")</f>
        <v/>
      </c>
      <c r="H137" s="439">
        <f>IF('User defined standard values'!H26&lt;&gt;"",'User defined standard values'!H26, "")</f>
        <v>0</v>
      </c>
      <c r="I137" s="229" t="str">
        <f>IF('User defined standard values'!I26&lt;&gt;"",'User defined standard values'!I26, "")</f>
        <v/>
      </c>
      <c r="J137" s="442" t="str">
        <f>IF('User defined standard values'!J26&lt;&gt;"",'User defined standard values'!J26, "")</f>
        <v/>
      </c>
      <c r="K137" s="442" t="str">
        <f>IF('User defined standard values'!K26&lt;&gt;"",'User defined standard values'!K26, "")</f>
        <v/>
      </c>
      <c r="L137" s="307">
        <f>IF('User defined standard values'!L26&lt;&gt;"",'User defined standard values'!L26, "")</f>
        <v>0</v>
      </c>
      <c r="M137" s="218" t="str">
        <f>IF('User defined standard values'!M26&lt;&gt;"",'User defined standard values'!M26, "")</f>
        <v/>
      </c>
      <c r="N137" s="442" t="str">
        <f>IF('User defined standard values'!N26&lt;&gt;"",'User defined standard values'!N26, "")</f>
        <v/>
      </c>
      <c r="O137" s="509" t="str">
        <f>IF('User defined standard values'!O26&lt;&gt;"",'User defined standard values'!O26, "")</f>
        <v/>
      </c>
      <c r="P137" s="439" t="str">
        <f>IF('User defined standard values'!P26&lt;&gt;"",'User defined standard values'!P26, "")</f>
        <v/>
      </c>
      <c r="Q137" s="218" t="str">
        <f>IF('User defined standard values'!Q26&lt;&gt;"",'User defined standard values'!Q26, "")</f>
        <v/>
      </c>
      <c r="R137" s="441" t="str">
        <f>IF('User defined standard values'!R26&lt;&gt;"",'User defined standard values'!R26, "")</f>
        <v/>
      </c>
      <c r="S137" s="517" t="str">
        <f>IF('User defined standard values'!S26&lt;&gt;"",'User defined standard values'!S26, "")</f>
        <v/>
      </c>
      <c r="T137" s="305" t="str">
        <f>IF('User defined standard values'!T26&lt;&gt;"",'User defined standard values'!T26, "")</f>
        <v/>
      </c>
      <c r="U137" s="308" t="str">
        <f>IF('User defined standard values'!U26&lt;&gt;"",'User defined standard values'!U26, "")</f>
        <v/>
      </c>
    </row>
    <row r="138" spans="1:21">
      <c r="A138" s="215"/>
      <c r="B138" s="306"/>
      <c r="C138" s="438" t="str">
        <f>IF('User defined standard values'!C27&lt;&gt;"",'User defined standard values'!C27, "")</f>
        <v/>
      </c>
      <c r="D138" s="308"/>
      <c r="E138" s="440" t="str">
        <f>IF('User defined standard values'!E27&lt;&gt;"",'User defined standard values'!E27, "")</f>
        <v/>
      </c>
      <c r="F138" s="218" t="str">
        <f>IF('User defined standard values'!F27&lt;&gt;"",'User defined standard values'!F27, "")</f>
        <v/>
      </c>
      <c r="G138" s="442" t="str">
        <f>IF('User defined standard values'!G27&lt;&gt;"",'User defined standard values'!G27, "")</f>
        <v/>
      </c>
      <c r="H138" s="439">
        <f>IF('User defined standard values'!H27&lt;&gt;"",'User defined standard values'!H27, "")</f>
        <v>0</v>
      </c>
      <c r="I138" s="229" t="str">
        <f>IF('User defined standard values'!I27&lt;&gt;"",'User defined standard values'!I27, "")</f>
        <v/>
      </c>
      <c r="J138" s="442" t="str">
        <f>IF('User defined standard values'!J27&lt;&gt;"",'User defined standard values'!J27, "")</f>
        <v/>
      </c>
      <c r="K138" s="442" t="str">
        <f>IF('User defined standard values'!K27&lt;&gt;"",'User defined standard values'!K27, "")</f>
        <v/>
      </c>
      <c r="L138" s="307">
        <f>IF('User defined standard values'!L27&lt;&gt;"",'User defined standard values'!L27, "")</f>
        <v>0</v>
      </c>
      <c r="M138" s="218" t="str">
        <f>IF('User defined standard values'!M27&lt;&gt;"",'User defined standard values'!M27, "")</f>
        <v/>
      </c>
      <c r="N138" s="442" t="str">
        <f>IF('User defined standard values'!N27&lt;&gt;"",'User defined standard values'!N27, "")</f>
        <v/>
      </c>
      <c r="O138" s="509" t="str">
        <f>IF('User defined standard values'!O27&lt;&gt;"",'User defined standard values'!O27, "")</f>
        <v/>
      </c>
      <c r="P138" s="439" t="str">
        <f>IF('User defined standard values'!P27&lt;&gt;"",'User defined standard values'!P27, "")</f>
        <v/>
      </c>
      <c r="Q138" s="218" t="str">
        <f>IF('User defined standard values'!Q27&lt;&gt;"",'User defined standard values'!Q27, "")</f>
        <v/>
      </c>
      <c r="R138" s="441" t="str">
        <f>IF('User defined standard values'!R27&lt;&gt;"",'User defined standard values'!R27, "")</f>
        <v/>
      </c>
      <c r="S138" s="517" t="str">
        <f>IF('User defined standard values'!S27&lt;&gt;"",'User defined standard values'!S27, "")</f>
        <v/>
      </c>
      <c r="T138" s="305" t="str">
        <f>IF('User defined standard values'!T27&lt;&gt;"",'User defined standard values'!T27, "")</f>
        <v/>
      </c>
      <c r="U138" s="308" t="str">
        <f>IF('User defined standard values'!U27&lt;&gt;"",'User defined standard values'!U27, "")</f>
        <v/>
      </c>
    </row>
    <row r="139" spans="1:21">
      <c r="A139" s="215"/>
      <c r="B139" s="306"/>
      <c r="C139" s="438" t="str">
        <f>IF('User defined standard values'!C28&lt;&gt;"",'User defined standard values'!C28, "")</f>
        <v/>
      </c>
      <c r="D139" s="308"/>
      <c r="E139" s="440" t="str">
        <f>IF('User defined standard values'!E28&lt;&gt;"",'User defined standard values'!E28, "")</f>
        <v/>
      </c>
      <c r="F139" s="218" t="str">
        <f>IF('User defined standard values'!F28&lt;&gt;"",'User defined standard values'!F28, "")</f>
        <v/>
      </c>
      <c r="G139" s="442" t="str">
        <f>IF('User defined standard values'!G28&lt;&gt;"",'User defined standard values'!G28, "")</f>
        <v/>
      </c>
      <c r="H139" s="439">
        <f>IF('User defined standard values'!H28&lt;&gt;"",'User defined standard values'!H28, "")</f>
        <v>0</v>
      </c>
      <c r="I139" s="229" t="str">
        <f>IF('User defined standard values'!I28&lt;&gt;"",'User defined standard values'!I28, "")</f>
        <v/>
      </c>
      <c r="J139" s="442" t="str">
        <f>IF('User defined standard values'!J28&lt;&gt;"",'User defined standard values'!J28, "")</f>
        <v/>
      </c>
      <c r="K139" s="442" t="str">
        <f>IF('User defined standard values'!K28&lt;&gt;"",'User defined standard values'!K28, "")</f>
        <v/>
      </c>
      <c r="L139" s="307">
        <f>IF('User defined standard values'!L28&lt;&gt;"",'User defined standard values'!L28, "")</f>
        <v>0</v>
      </c>
      <c r="M139" s="218" t="str">
        <f>IF('User defined standard values'!M28&lt;&gt;"",'User defined standard values'!M28, "")</f>
        <v/>
      </c>
      <c r="N139" s="442" t="str">
        <f>IF('User defined standard values'!N28&lt;&gt;"",'User defined standard values'!N28, "")</f>
        <v/>
      </c>
      <c r="O139" s="509" t="str">
        <f>IF('User defined standard values'!O28&lt;&gt;"",'User defined standard values'!O28, "")</f>
        <v/>
      </c>
      <c r="P139" s="439" t="str">
        <f>IF('User defined standard values'!P28&lt;&gt;"",'User defined standard values'!P28, "")</f>
        <v/>
      </c>
      <c r="Q139" s="218" t="str">
        <f>IF('User defined standard values'!Q28&lt;&gt;"",'User defined standard values'!Q28, "")</f>
        <v/>
      </c>
      <c r="R139" s="441" t="str">
        <f>IF('User defined standard values'!R28&lt;&gt;"",'User defined standard values'!R28, "")</f>
        <v/>
      </c>
      <c r="S139" s="517" t="str">
        <f>IF('User defined standard values'!S28&lt;&gt;"",'User defined standard values'!S28, "")</f>
        <v/>
      </c>
      <c r="T139" s="305" t="str">
        <f>IF('User defined standard values'!T28&lt;&gt;"",'User defined standard values'!T28, "")</f>
        <v/>
      </c>
      <c r="U139" s="308" t="str">
        <f>IF('User defined standard values'!U28&lt;&gt;"",'User defined standard values'!U28, "")</f>
        <v/>
      </c>
    </row>
    <row r="140" spans="1:21">
      <c r="A140" s="215"/>
      <c r="B140" s="306"/>
      <c r="C140" s="438" t="str">
        <f>IF('User defined standard values'!C29&lt;&gt;"",'User defined standard values'!C29, "")</f>
        <v/>
      </c>
      <c r="D140" s="308"/>
      <c r="E140" s="440" t="str">
        <f>IF('User defined standard values'!E29&lt;&gt;"",'User defined standard values'!E29, "")</f>
        <v/>
      </c>
      <c r="F140" s="218" t="str">
        <f>IF('User defined standard values'!F29&lt;&gt;"",'User defined standard values'!F29, "")</f>
        <v/>
      </c>
      <c r="G140" s="442" t="str">
        <f>IF('User defined standard values'!G29&lt;&gt;"",'User defined standard values'!G29, "")</f>
        <v/>
      </c>
      <c r="H140" s="439">
        <f>IF('User defined standard values'!H29&lt;&gt;"",'User defined standard values'!H29, "")</f>
        <v>0</v>
      </c>
      <c r="I140" s="229" t="str">
        <f>IF('User defined standard values'!I29&lt;&gt;"",'User defined standard values'!I29, "")</f>
        <v/>
      </c>
      <c r="J140" s="442" t="str">
        <f>IF('User defined standard values'!J29&lt;&gt;"",'User defined standard values'!J29, "")</f>
        <v/>
      </c>
      <c r="K140" s="442" t="str">
        <f>IF('User defined standard values'!K29&lt;&gt;"",'User defined standard values'!K29, "")</f>
        <v/>
      </c>
      <c r="L140" s="307">
        <f>IF('User defined standard values'!L29&lt;&gt;"",'User defined standard values'!L29, "")</f>
        <v>0</v>
      </c>
      <c r="M140" s="218" t="str">
        <f>IF('User defined standard values'!M29&lt;&gt;"",'User defined standard values'!M29, "")</f>
        <v/>
      </c>
      <c r="N140" s="442" t="str">
        <f>IF('User defined standard values'!N29&lt;&gt;"",'User defined standard values'!N29, "")</f>
        <v/>
      </c>
      <c r="O140" s="509" t="str">
        <f>IF('User defined standard values'!O29&lt;&gt;"",'User defined standard values'!O29, "")</f>
        <v/>
      </c>
      <c r="P140" s="439" t="str">
        <f>IF('User defined standard values'!P29&lt;&gt;"",'User defined standard values'!P29, "")</f>
        <v/>
      </c>
      <c r="Q140" s="218" t="str">
        <f>IF('User defined standard values'!Q29&lt;&gt;"",'User defined standard values'!Q29, "")</f>
        <v/>
      </c>
      <c r="R140" s="441" t="str">
        <f>IF('User defined standard values'!R29&lt;&gt;"",'User defined standard values'!R29, "")</f>
        <v/>
      </c>
      <c r="S140" s="517" t="str">
        <f>IF('User defined standard values'!S29&lt;&gt;"",'User defined standard values'!S29, "")</f>
        <v/>
      </c>
      <c r="T140" s="305" t="str">
        <f>IF('User defined standard values'!T29&lt;&gt;"",'User defined standard values'!T29, "")</f>
        <v/>
      </c>
      <c r="U140" s="308" t="str">
        <f>IF('User defined standard values'!U29&lt;&gt;"",'User defined standard values'!U29, "")</f>
        <v/>
      </c>
    </row>
    <row r="141" spans="1:21">
      <c r="A141" s="215"/>
      <c r="B141" s="306"/>
      <c r="C141" s="438" t="str">
        <f>IF('User defined standard values'!C30&lt;&gt;"",'User defined standard values'!C30, "")</f>
        <v/>
      </c>
      <c r="D141" s="308"/>
      <c r="E141" s="440" t="str">
        <f>IF('User defined standard values'!E30&lt;&gt;"",'User defined standard values'!E30, "")</f>
        <v/>
      </c>
      <c r="F141" s="218" t="str">
        <f>IF('User defined standard values'!F30&lt;&gt;"",'User defined standard values'!F30, "")</f>
        <v/>
      </c>
      <c r="G141" s="442" t="str">
        <f>IF('User defined standard values'!G30&lt;&gt;"",'User defined standard values'!G30, "")</f>
        <v/>
      </c>
      <c r="H141" s="439">
        <f>IF('User defined standard values'!H30&lt;&gt;"",'User defined standard values'!H30, "")</f>
        <v>0</v>
      </c>
      <c r="I141" s="229" t="str">
        <f>IF('User defined standard values'!I30&lt;&gt;"",'User defined standard values'!I30, "")</f>
        <v/>
      </c>
      <c r="J141" s="442" t="str">
        <f>IF('User defined standard values'!J30&lt;&gt;"",'User defined standard values'!J30, "")</f>
        <v/>
      </c>
      <c r="K141" s="442" t="str">
        <f>IF('User defined standard values'!K30&lt;&gt;"",'User defined standard values'!K30, "")</f>
        <v/>
      </c>
      <c r="L141" s="307">
        <f>IF('User defined standard values'!L30&lt;&gt;"",'User defined standard values'!L30, "")</f>
        <v>0</v>
      </c>
      <c r="M141" s="218" t="str">
        <f>IF('User defined standard values'!M30&lt;&gt;"",'User defined standard values'!M30, "")</f>
        <v/>
      </c>
      <c r="N141" s="442" t="str">
        <f>IF('User defined standard values'!N30&lt;&gt;"",'User defined standard values'!N30, "")</f>
        <v/>
      </c>
      <c r="O141" s="509" t="str">
        <f>IF('User defined standard values'!O30&lt;&gt;"",'User defined standard values'!O30, "")</f>
        <v/>
      </c>
      <c r="P141" s="439" t="str">
        <f>IF('User defined standard values'!P30&lt;&gt;"",'User defined standard values'!P30, "")</f>
        <v/>
      </c>
      <c r="Q141" s="218" t="str">
        <f>IF('User defined standard values'!Q30&lt;&gt;"",'User defined standard values'!Q30, "")</f>
        <v/>
      </c>
      <c r="R141" s="441" t="str">
        <f>IF('User defined standard values'!R30&lt;&gt;"",'User defined standard values'!R30, "")</f>
        <v/>
      </c>
      <c r="S141" s="517" t="str">
        <f>IF('User defined standard values'!S30&lt;&gt;"",'User defined standard values'!S30, "")</f>
        <v/>
      </c>
      <c r="T141" s="305" t="str">
        <f>IF('User defined standard values'!T30&lt;&gt;"",'User defined standard values'!T30, "")</f>
        <v/>
      </c>
      <c r="U141" s="308" t="str">
        <f>IF('User defined standard values'!U30&lt;&gt;"",'User defined standard values'!U30, "")</f>
        <v/>
      </c>
    </row>
    <row r="142" spans="1:21">
      <c r="A142" s="215"/>
      <c r="B142" s="306"/>
      <c r="C142" s="438" t="str">
        <f>IF('User defined standard values'!C31&lt;&gt;"",'User defined standard values'!C31, "")</f>
        <v/>
      </c>
      <c r="D142" s="308"/>
      <c r="E142" s="440" t="str">
        <f>IF('User defined standard values'!E31&lt;&gt;"",'User defined standard values'!E31, "")</f>
        <v/>
      </c>
      <c r="F142" s="218" t="str">
        <f>IF('User defined standard values'!F31&lt;&gt;"",'User defined standard values'!F31, "")</f>
        <v/>
      </c>
      <c r="G142" s="442" t="str">
        <f>IF('User defined standard values'!G31&lt;&gt;"",'User defined standard values'!G31, "")</f>
        <v/>
      </c>
      <c r="H142" s="439">
        <f>IF('User defined standard values'!H31&lt;&gt;"",'User defined standard values'!H31, "")</f>
        <v>0</v>
      </c>
      <c r="I142" s="229" t="str">
        <f>IF('User defined standard values'!I31&lt;&gt;"",'User defined standard values'!I31, "")</f>
        <v/>
      </c>
      <c r="J142" s="442" t="str">
        <f>IF('User defined standard values'!J31&lt;&gt;"",'User defined standard values'!J31, "")</f>
        <v/>
      </c>
      <c r="K142" s="442" t="str">
        <f>IF('User defined standard values'!K31&lt;&gt;"",'User defined standard values'!K31, "")</f>
        <v/>
      </c>
      <c r="L142" s="307">
        <f>IF('User defined standard values'!L31&lt;&gt;"",'User defined standard values'!L31, "")</f>
        <v>0</v>
      </c>
      <c r="M142" s="218" t="str">
        <f>IF('User defined standard values'!M31&lt;&gt;"",'User defined standard values'!M31, "")</f>
        <v/>
      </c>
      <c r="N142" s="442" t="str">
        <f>IF('User defined standard values'!N31&lt;&gt;"",'User defined standard values'!N31, "")</f>
        <v/>
      </c>
      <c r="O142" s="509" t="str">
        <f>IF('User defined standard values'!O31&lt;&gt;"",'User defined standard values'!O31, "")</f>
        <v/>
      </c>
      <c r="P142" s="439" t="str">
        <f>IF('User defined standard values'!P31&lt;&gt;"",'User defined standard values'!P31, "")</f>
        <v/>
      </c>
      <c r="Q142" s="218" t="str">
        <f>IF('User defined standard values'!Q31&lt;&gt;"",'User defined standard values'!Q31, "")</f>
        <v/>
      </c>
      <c r="R142" s="441" t="str">
        <f>IF('User defined standard values'!R31&lt;&gt;"",'User defined standard values'!R31, "")</f>
        <v/>
      </c>
      <c r="S142" s="517" t="str">
        <f>IF('User defined standard values'!S31&lt;&gt;"",'User defined standard values'!S31, "")</f>
        <v/>
      </c>
      <c r="T142" s="305" t="str">
        <f>IF('User defined standard values'!T31&lt;&gt;"",'User defined standard values'!T31, "")</f>
        <v/>
      </c>
      <c r="U142" s="308" t="str">
        <f>IF('User defined standard values'!U31&lt;&gt;"",'User defined standard values'!U31, "")</f>
        <v/>
      </c>
    </row>
    <row r="143" spans="1:21">
      <c r="A143" s="215"/>
      <c r="B143" s="306"/>
      <c r="C143" s="438" t="str">
        <f>IF('User defined standard values'!C32&lt;&gt;"",'User defined standard values'!C32, "")</f>
        <v/>
      </c>
      <c r="D143" s="308"/>
      <c r="E143" s="440" t="str">
        <f>IF('User defined standard values'!E32&lt;&gt;"",'User defined standard values'!E32, "")</f>
        <v/>
      </c>
      <c r="F143" s="218" t="str">
        <f>IF('User defined standard values'!F32&lt;&gt;"",'User defined standard values'!F32, "")</f>
        <v/>
      </c>
      <c r="G143" s="442" t="str">
        <f>IF('User defined standard values'!G32&lt;&gt;"",'User defined standard values'!G32, "")</f>
        <v/>
      </c>
      <c r="H143" s="439">
        <f>IF('User defined standard values'!H32&lt;&gt;"",'User defined standard values'!H32, "")</f>
        <v>0</v>
      </c>
      <c r="I143" s="229" t="str">
        <f>IF('User defined standard values'!I32&lt;&gt;"",'User defined standard values'!I32, "")</f>
        <v/>
      </c>
      <c r="J143" s="442" t="str">
        <f>IF('User defined standard values'!J32&lt;&gt;"",'User defined standard values'!J32, "")</f>
        <v/>
      </c>
      <c r="K143" s="442" t="str">
        <f>IF('User defined standard values'!K32&lt;&gt;"",'User defined standard values'!K32, "")</f>
        <v/>
      </c>
      <c r="L143" s="307">
        <f>IF('User defined standard values'!L32&lt;&gt;"",'User defined standard values'!L32, "")</f>
        <v>0</v>
      </c>
      <c r="M143" s="218" t="str">
        <f>IF('User defined standard values'!M32&lt;&gt;"",'User defined standard values'!M32, "")</f>
        <v/>
      </c>
      <c r="N143" s="442" t="str">
        <f>IF('User defined standard values'!N32&lt;&gt;"",'User defined standard values'!N32, "")</f>
        <v/>
      </c>
      <c r="O143" s="509" t="str">
        <f>IF('User defined standard values'!O32&lt;&gt;"",'User defined standard values'!O32, "")</f>
        <v/>
      </c>
      <c r="P143" s="439" t="str">
        <f>IF('User defined standard values'!P32&lt;&gt;"",'User defined standard values'!P32, "")</f>
        <v/>
      </c>
      <c r="Q143" s="218" t="str">
        <f>IF('User defined standard values'!Q32&lt;&gt;"",'User defined standard values'!Q32, "")</f>
        <v/>
      </c>
      <c r="R143" s="441" t="str">
        <f>IF('User defined standard values'!R32&lt;&gt;"",'User defined standard values'!R32, "")</f>
        <v/>
      </c>
      <c r="S143" s="517" t="str">
        <f>IF('User defined standard values'!S32&lt;&gt;"",'User defined standard values'!S32, "")</f>
        <v/>
      </c>
      <c r="T143" s="305" t="str">
        <f>IF('User defined standard values'!T32&lt;&gt;"",'User defined standard values'!T32, "")</f>
        <v/>
      </c>
      <c r="U143" s="308" t="str">
        <f>IF('User defined standard values'!U32&lt;&gt;"",'User defined standard values'!U32, "")</f>
        <v/>
      </c>
    </row>
    <row r="144" spans="1:21">
      <c r="A144" s="215"/>
      <c r="B144" s="306"/>
      <c r="C144" s="438" t="str">
        <f>IF('User defined standard values'!C33&lt;&gt;"",'User defined standard values'!C33, "")</f>
        <v/>
      </c>
      <c r="D144" s="308"/>
      <c r="E144" s="440" t="str">
        <f>IF('User defined standard values'!E33&lt;&gt;"",'User defined standard values'!E33, "")</f>
        <v/>
      </c>
      <c r="F144" s="218" t="str">
        <f>IF('User defined standard values'!F33&lt;&gt;"",'User defined standard values'!F33, "")</f>
        <v/>
      </c>
      <c r="G144" s="442" t="str">
        <f>IF('User defined standard values'!G33&lt;&gt;"",'User defined standard values'!G33, "")</f>
        <v/>
      </c>
      <c r="H144" s="439">
        <f>IF('User defined standard values'!H33&lt;&gt;"",'User defined standard values'!H33, "")</f>
        <v>0</v>
      </c>
      <c r="I144" s="229" t="str">
        <f>IF('User defined standard values'!I33&lt;&gt;"",'User defined standard values'!I33, "")</f>
        <v/>
      </c>
      <c r="J144" s="442" t="str">
        <f>IF('User defined standard values'!J33&lt;&gt;"",'User defined standard values'!J33, "")</f>
        <v/>
      </c>
      <c r="K144" s="442" t="str">
        <f>IF('User defined standard values'!K33&lt;&gt;"",'User defined standard values'!K33, "")</f>
        <v/>
      </c>
      <c r="L144" s="307">
        <f>IF('User defined standard values'!L33&lt;&gt;"",'User defined standard values'!L33, "")</f>
        <v>0</v>
      </c>
      <c r="M144" s="218" t="str">
        <f>IF('User defined standard values'!M33&lt;&gt;"",'User defined standard values'!M33, "")</f>
        <v/>
      </c>
      <c r="N144" s="442" t="str">
        <f>IF('User defined standard values'!N33&lt;&gt;"",'User defined standard values'!N33, "")</f>
        <v/>
      </c>
      <c r="O144" s="509" t="str">
        <f>IF('User defined standard values'!O33&lt;&gt;"",'User defined standard values'!O33, "")</f>
        <v/>
      </c>
      <c r="P144" s="439" t="str">
        <f>IF('User defined standard values'!P33&lt;&gt;"",'User defined standard values'!P33, "")</f>
        <v/>
      </c>
      <c r="Q144" s="218" t="str">
        <f>IF('User defined standard values'!Q33&lt;&gt;"",'User defined standard values'!Q33, "")</f>
        <v/>
      </c>
      <c r="R144" s="441" t="str">
        <f>IF('User defined standard values'!R33&lt;&gt;"",'User defined standard values'!R33, "")</f>
        <v/>
      </c>
      <c r="S144" s="517" t="str">
        <f>IF('User defined standard values'!S33&lt;&gt;"",'User defined standard values'!S33, "")</f>
        <v/>
      </c>
      <c r="T144" s="305" t="str">
        <f>IF('User defined standard values'!T33&lt;&gt;"",'User defined standard values'!T33, "")</f>
        <v/>
      </c>
      <c r="U144" s="308" t="str">
        <f>IF('User defined standard values'!U33&lt;&gt;"",'User defined standard values'!U33, "")</f>
        <v/>
      </c>
    </row>
    <row r="145" spans="1:21">
      <c r="A145" s="215"/>
      <c r="B145" s="306"/>
      <c r="C145" s="438" t="str">
        <f>IF('User defined standard values'!C34&lt;&gt;"",'User defined standard values'!C34, "")</f>
        <v/>
      </c>
      <c r="D145" s="308"/>
      <c r="E145" s="440" t="str">
        <f>IF('User defined standard values'!E34&lt;&gt;"",'User defined standard values'!E34, "")</f>
        <v/>
      </c>
      <c r="F145" s="218" t="str">
        <f>IF('User defined standard values'!F34&lt;&gt;"",'User defined standard values'!F34, "")</f>
        <v/>
      </c>
      <c r="G145" s="442" t="str">
        <f>IF('User defined standard values'!G34&lt;&gt;"",'User defined standard values'!G34, "")</f>
        <v/>
      </c>
      <c r="H145" s="439">
        <f>IF('User defined standard values'!H34&lt;&gt;"",'User defined standard values'!H34, "")</f>
        <v>0</v>
      </c>
      <c r="I145" s="229" t="str">
        <f>IF('User defined standard values'!I34&lt;&gt;"",'User defined standard values'!I34, "")</f>
        <v/>
      </c>
      <c r="J145" s="442" t="str">
        <f>IF('User defined standard values'!J34&lt;&gt;"",'User defined standard values'!J34, "")</f>
        <v/>
      </c>
      <c r="K145" s="442" t="str">
        <f>IF('User defined standard values'!K34&lt;&gt;"",'User defined standard values'!K34, "")</f>
        <v/>
      </c>
      <c r="L145" s="307">
        <f>IF('User defined standard values'!L34&lt;&gt;"",'User defined standard values'!L34, "")</f>
        <v>0</v>
      </c>
      <c r="M145" s="218" t="str">
        <f>IF('User defined standard values'!M34&lt;&gt;"",'User defined standard values'!M34, "")</f>
        <v/>
      </c>
      <c r="N145" s="442" t="str">
        <f>IF('User defined standard values'!N34&lt;&gt;"",'User defined standard values'!N34, "")</f>
        <v/>
      </c>
      <c r="O145" s="509" t="str">
        <f>IF('User defined standard values'!O34&lt;&gt;"",'User defined standard values'!O34, "")</f>
        <v/>
      </c>
      <c r="P145" s="439" t="str">
        <f>IF('User defined standard values'!P34&lt;&gt;"",'User defined standard values'!P34, "")</f>
        <v/>
      </c>
      <c r="Q145" s="218" t="str">
        <f>IF('User defined standard values'!Q34&lt;&gt;"",'User defined standard values'!Q34, "")</f>
        <v/>
      </c>
      <c r="R145" s="441" t="str">
        <f>IF('User defined standard values'!R34&lt;&gt;"",'User defined standard values'!R34, "")</f>
        <v/>
      </c>
      <c r="S145" s="517" t="str">
        <f>IF('User defined standard values'!S34&lt;&gt;"",'User defined standard values'!S34, "")</f>
        <v/>
      </c>
      <c r="T145" s="305" t="str">
        <f>IF('User defined standard values'!T34&lt;&gt;"",'User defined standard values'!T34, "")</f>
        <v/>
      </c>
      <c r="U145" s="308" t="str">
        <f>IF('User defined standard values'!U34&lt;&gt;"",'User defined standard values'!U34, "")</f>
        <v/>
      </c>
    </row>
    <row r="146" spans="1:21">
      <c r="A146" s="215"/>
      <c r="B146" s="306"/>
      <c r="C146" s="438" t="str">
        <f>IF('User defined standard values'!C35&lt;&gt;"",'User defined standard values'!C35, "")</f>
        <v/>
      </c>
      <c r="D146" s="308"/>
      <c r="E146" s="440" t="str">
        <f>IF('User defined standard values'!E35&lt;&gt;"",'User defined standard values'!E35, "")</f>
        <v/>
      </c>
      <c r="F146" s="218" t="str">
        <f>IF('User defined standard values'!F35&lt;&gt;"",'User defined standard values'!F35, "")</f>
        <v/>
      </c>
      <c r="G146" s="442" t="str">
        <f>IF('User defined standard values'!G35&lt;&gt;"",'User defined standard values'!G35, "")</f>
        <v/>
      </c>
      <c r="H146" s="439">
        <f>IF('User defined standard values'!H35&lt;&gt;"",'User defined standard values'!H35, "")</f>
        <v>0</v>
      </c>
      <c r="I146" s="229" t="str">
        <f>IF('User defined standard values'!I35&lt;&gt;"",'User defined standard values'!I35, "")</f>
        <v/>
      </c>
      <c r="J146" s="442" t="str">
        <f>IF('User defined standard values'!J35&lt;&gt;"",'User defined standard values'!J35, "")</f>
        <v/>
      </c>
      <c r="K146" s="442" t="str">
        <f>IF('User defined standard values'!K35&lt;&gt;"",'User defined standard values'!K35, "")</f>
        <v/>
      </c>
      <c r="L146" s="307">
        <f>IF('User defined standard values'!L35&lt;&gt;"",'User defined standard values'!L35, "")</f>
        <v>0</v>
      </c>
      <c r="M146" s="218" t="str">
        <f>IF('User defined standard values'!M35&lt;&gt;"",'User defined standard values'!M35, "")</f>
        <v/>
      </c>
      <c r="N146" s="442" t="str">
        <f>IF('User defined standard values'!N35&lt;&gt;"",'User defined standard values'!N35, "")</f>
        <v/>
      </c>
      <c r="O146" s="509" t="str">
        <f>IF('User defined standard values'!O35&lt;&gt;"",'User defined standard values'!O35, "")</f>
        <v/>
      </c>
      <c r="P146" s="439" t="str">
        <f>IF('User defined standard values'!P35&lt;&gt;"",'User defined standard values'!P35, "")</f>
        <v/>
      </c>
      <c r="Q146" s="218" t="str">
        <f>IF('User defined standard values'!Q35&lt;&gt;"",'User defined standard values'!Q35, "")</f>
        <v/>
      </c>
      <c r="R146" s="441" t="str">
        <f>IF('User defined standard values'!R35&lt;&gt;"",'User defined standard values'!R35, "")</f>
        <v/>
      </c>
      <c r="S146" s="517" t="str">
        <f>IF('User defined standard values'!S35&lt;&gt;"",'User defined standard values'!S35, "")</f>
        <v/>
      </c>
      <c r="T146" s="305" t="str">
        <f>IF('User defined standard values'!T35&lt;&gt;"",'User defined standard values'!T35, "")</f>
        <v/>
      </c>
      <c r="U146" s="308" t="str">
        <f>IF('User defined standard values'!U35&lt;&gt;"",'User defined standard values'!U35, "")</f>
        <v/>
      </c>
    </row>
    <row r="147" spans="1:21">
      <c r="A147" s="215"/>
      <c r="B147" s="306"/>
      <c r="C147" s="438" t="str">
        <f>IF('User defined standard values'!C36&lt;&gt;"",'User defined standard values'!C36, "")</f>
        <v/>
      </c>
      <c r="D147" s="308"/>
      <c r="E147" s="440" t="str">
        <f>IF('User defined standard values'!E36&lt;&gt;"",'User defined standard values'!E36, "")</f>
        <v/>
      </c>
      <c r="F147" s="218" t="str">
        <f>IF('User defined standard values'!F36&lt;&gt;"",'User defined standard values'!F36, "")</f>
        <v/>
      </c>
      <c r="G147" s="442" t="str">
        <f>IF('User defined standard values'!G36&lt;&gt;"",'User defined standard values'!G36, "")</f>
        <v/>
      </c>
      <c r="H147" s="439">
        <f>IF('User defined standard values'!H36&lt;&gt;"",'User defined standard values'!H36, "")</f>
        <v>0</v>
      </c>
      <c r="I147" s="229" t="str">
        <f>IF('User defined standard values'!I36&lt;&gt;"",'User defined standard values'!I36, "")</f>
        <v/>
      </c>
      <c r="J147" s="442" t="str">
        <f>IF('User defined standard values'!J36&lt;&gt;"",'User defined standard values'!J36, "")</f>
        <v/>
      </c>
      <c r="K147" s="442" t="str">
        <f>IF('User defined standard values'!K36&lt;&gt;"",'User defined standard values'!K36, "")</f>
        <v/>
      </c>
      <c r="L147" s="307">
        <f>IF('User defined standard values'!L36&lt;&gt;"",'User defined standard values'!L36, "")</f>
        <v>0</v>
      </c>
      <c r="M147" s="218" t="str">
        <f>IF('User defined standard values'!M36&lt;&gt;"",'User defined standard values'!M36, "")</f>
        <v/>
      </c>
      <c r="N147" s="442" t="str">
        <f>IF('User defined standard values'!N36&lt;&gt;"",'User defined standard values'!N36, "")</f>
        <v/>
      </c>
      <c r="O147" s="509" t="str">
        <f>IF('User defined standard values'!O36&lt;&gt;"",'User defined standard values'!O36, "")</f>
        <v/>
      </c>
      <c r="P147" s="439" t="str">
        <f>IF('User defined standard values'!P36&lt;&gt;"",'User defined standard values'!P36, "")</f>
        <v/>
      </c>
      <c r="Q147" s="218" t="str">
        <f>IF('User defined standard values'!Q36&lt;&gt;"",'User defined standard values'!Q36, "")</f>
        <v/>
      </c>
      <c r="R147" s="441" t="str">
        <f>IF('User defined standard values'!R36&lt;&gt;"",'User defined standard values'!R36, "")</f>
        <v/>
      </c>
      <c r="S147" s="517" t="str">
        <f>IF('User defined standard values'!S36&lt;&gt;"",'User defined standard values'!S36, "")</f>
        <v/>
      </c>
      <c r="T147" s="305" t="str">
        <f>IF('User defined standard values'!T36&lt;&gt;"",'User defined standard values'!T36, "")</f>
        <v/>
      </c>
      <c r="U147" s="308" t="str">
        <f>IF('User defined standard values'!U36&lt;&gt;"",'User defined standard values'!U36, "")</f>
        <v/>
      </c>
    </row>
    <row r="148" spans="1:21">
      <c r="A148" s="215"/>
      <c r="B148" s="306"/>
      <c r="C148" s="438" t="str">
        <f>IF('User defined standard values'!C37&lt;&gt;"",'User defined standard values'!C37, "")</f>
        <v/>
      </c>
      <c r="D148" s="308"/>
      <c r="E148" s="440" t="str">
        <f>IF('User defined standard values'!E37&lt;&gt;"",'User defined standard values'!E37, "")</f>
        <v/>
      </c>
      <c r="F148" s="218" t="str">
        <f>IF('User defined standard values'!F37&lt;&gt;"",'User defined standard values'!F37, "")</f>
        <v/>
      </c>
      <c r="G148" s="442" t="str">
        <f>IF('User defined standard values'!G37&lt;&gt;"",'User defined standard values'!G37, "")</f>
        <v/>
      </c>
      <c r="H148" s="439">
        <f>IF('User defined standard values'!H37&lt;&gt;"",'User defined standard values'!H37, "")</f>
        <v>0</v>
      </c>
      <c r="I148" s="229" t="str">
        <f>IF('User defined standard values'!I37&lt;&gt;"",'User defined standard values'!I37, "")</f>
        <v/>
      </c>
      <c r="J148" s="442" t="str">
        <f>IF('User defined standard values'!J37&lt;&gt;"",'User defined standard values'!J37, "")</f>
        <v/>
      </c>
      <c r="K148" s="442" t="str">
        <f>IF('User defined standard values'!K37&lt;&gt;"",'User defined standard values'!K37, "")</f>
        <v/>
      </c>
      <c r="L148" s="307">
        <f>IF('User defined standard values'!L37&lt;&gt;"",'User defined standard values'!L37, "")</f>
        <v>0</v>
      </c>
      <c r="M148" s="218" t="str">
        <f>IF('User defined standard values'!M37&lt;&gt;"",'User defined standard values'!M37, "")</f>
        <v/>
      </c>
      <c r="N148" s="442" t="str">
        <f>IF('User defined standard values'!N37&lt;&gt;"",'User defined standard values'!N37, "")</f>
        <v/>
      </c>
      <c r="O148" s="509" t="str">
        <f>IF('User defined standard values'!O37&lt;&gt;"",'User defined standard values'!O37, "")</f>
        <v/>
      </c>
      <c r="P148" s="439" t="str">
        <f>IF('User defined standard values'!P37&lt;&gt;"",'User defined standard values'!P37, "")</f>
        <v/>
      </c>
      <c r="Q148" s="218" t="str">
        <f>IF('User defined standard values'!Q37&lt;&gt;"",'User defined standard values'!Q37, "")</f>
        <v/>
      </c>
      <c r="R148" s="441" t="str">
        <f>IF('User defined standard values'!R37&lt;&gt;"",'User defined standard values'!R37, "")</f>
        <v/>
      </c>
      <c r="S148" s="517" t="str">
        <f>IF('User defined standard values'!S37&lt;&gt;"",'User defined standard values'!S37, "")</f>
        <v/>
      </c>
      <c r="T148" s="305" t="str">
        <f>IF('User defined standard values'!T37&lt;&gt;"",'User defined standard values'!T37, "")</f>
        <v/>
      </c>
      <c r="U148" s="308" t="str">
        <f>IF('User defined standard values'!U37&lt;&gt;"",'User defined standard values'!U37, "")</f>
        <v/>
      </c>
    </row>
    <row r="149" spans="1:21">
      <c r="A149" s="215"/>
      <c r="B149" s="306"/>
      <c r="C149" s="438" t="str">
        <f>IF('User defined standard values'!C38&lt;&gt;"",'User defined standard values'!C38, "")</f>
        <v/>
      </c>
      <c r="D149" s="308"/>
      <c r="E149" s="440" t="str">
        <f>IF('User defined standard values'!E38&lt;&gt;"",'User defined standard values'!E38, "")</f>
        <v/>
      </c>
      <c r="F149" s="218" t="str">
        <f>IF('User defined standard values'!F38&lt;&gt;"",'User defined standard values'!F38, "")</f>
        <v/>
      </c>
      <c r="G149" s="442" t="str">
        <f>IF('User defined standard values'!G38&lt;&gt;"",'User defined standard values'!G38, "")</f>
        <v/>
      </c>
      <c r="H149" s="439">
        <f>IF('User defined standard values'!H38&lt;&gt;"",'User defined standard values'!H38, "")</f>
        <v>0</v>
      </c>
      <c r="I149" s="229" t="str">
        <f>IF('User defined standard values'!I38&lt;&gt;"",'User defined standard values'!I38, "")</f>
        <v/>
      </c>
      <c r="J149" s="442" t="str">
        <f>IF('User defined standard values'!J38&lt;&gt;"",'User defined standard values'!J38, "")</f>
        <v/>
      </c>
      <c r="K149" s="442" t="str">
        <f>IF('User defined standard values'!K38&lt;&gt;"",'User defined standard values'!K38, "")</f>
        <v/>
      </c>
      <c r="L149" s="307">
        <f>IF('User defined standard values'!L38&lt;&gt;"",'User defined standard values'!L38, "")</f>
        <v>0</v>
      </c>
      <c r="M149" s="218" t="str">
        <f>IF('User defined standard values'!M38&lt;&gt;"",'User defined standard values'!M38, "")</f>
        <v/>
      </c>
      <c r="N149" s="442" t="str">
        <f>IF('User defined standard values'!N38&lt;&gt;"",'User defined standard values'!N38, "")</f>
        <v/>
      </c>
      <c r="O149" s="509" t="str">
        <f>IF('User defined standard values'!O38&lt;&gt;"",'User defined standard values'!O38, "")</f>
        <v/>
      </c>
      <c r="P149" s="439" t="str">
        <f>IF('User defined standard values'!P38&lt;&gt;"",'User defined standard values'!P38, "")</f>
        <v/>
      </c>
      <c r="Q149" s="218" t="str">
        <f>IF('User defined standard values'!Q38&lt;&gt;"",'User defined standard values'!Q38, "")</f>
        <v/>
      </c>
      <c r="R149" s="441" t="str">
        <f>IF('User defined standard values'!R38&lt;&gt;"",'User defined standard values'!R38, "")</f>
        <v/>
      </c>
      <c r="S149" s="517" t="str">
        <f>IF('User defined standard values'!S38&lt;&gt;"",'User defined standard values'!S38, "")</f>
        <v/>
      </c>
      <c r="T149" s="305" t="str">
        <f>IF('User defined standard values'!T38&lt;&gt;"",'User defined standard values'!T38, "")</f>
        <v/>
      </c>
      <c r="U149" s="308" t="str">
        <f>IF('User defined standard values'!U38&lt;&gt;"",'User defined standard values'!U38, "")</f>
        <v/>
      </c>
    </row>
    <row r="150" spans="1:21">
      <c r="A150" s="215"/>
      <c r="B150" s="306"/>
      <c r="C150" s="438" t="str">
        <f>IF('User defined standard values'!C39&lt;&gt;"",'User defined standard values'!C39, "")</f>
        <v/>
      </c>
      <c r="D150" s="308"/>
      <c r="E150" s="440" t="str">
        <f>IF('User defined standard values'!E39&lt;&gt;"",'User defined standard values'!E39, "")</f>
        <v/>
      </c>
      <c r="F150" s="218" t="str">
        <f>IF('User defined standard values'!F39&lt;&gt;"",'User defined standard values'!F39, "")</f>
        <v/>
      </c>
      <c r="G150" s="442" t="str">
        <f>IF('User defined standard values'!G39&lt;&gt;"",'User defined standard values'!G39, "")</f>
        <v/>
      </c>
      <c r="H150" s="439">
        <f>IF('User defined standard values'!H39&lt;&gt;"",'User defined standard values'!H39, "")</f>
        <v>0</v>
      </c>
      <c r="I150" s="229" t="str">
        <f>IF('User defined standard values'!I39&lt;&gt;"",'User defined standard values'!I39, "")</f>
        <v/>
      </c>
      <c r="J150" s="442" t="str">
        <f>IF('User defined standard values'!J39&lt;&gt;"",'User defined standard values'!J39, "")</f>
        <v/>
      </c>
      <c r="K150" s="442" t="str">
        <f>IF('User defined standard values'!K39&lt;&gt;"",'User defined standard values'!K39, "")</f>
        <v/>
      </c>
      <c r="L150" s="307">
        <f>IF('User defined standard values'!L39&lt;&gt;"",'User defined standard values'!L39, "")</f>
        <v>0</v>
      </c>
      <c r="M150" s="218" t="str">
        <f>IF('User defined standard values'!M39&lt;&gt;"",'User defined standard values'!M39, "")</f>
        <v/>
      </c>
      <c r="N150" s="442" t="str">
        <f>IF('User defined standard values'!N39&lt;&gt;"",'User defined standard values'!N39, "")</f>
        <v/>
      </c>
      <c r="O150" s="509" t="str">
        <f>IF('User defined standard values'!O39&lt;&gt;"",'User defined standard values'!O39, "")</f>
        <v/>
      </c>
      <c r="P150" s="439" t="str">
        <f>IF('User defined standard values'!P39&lt;&gt;"",'User defined standard values'!P39, "")</f>
        <v/>
      </c>
      <c r="Q150" s="218" t="str">
        <f>IF('User defined standard values'!Q39&lt;&gt;"",'User defined standard values'!Q39, "")</f>
        <v/>
      </c>
      <c r="R150" s="441" t="str">
        <f>IF('User defined standard values'!R39&lt;&gt;"",'User defined standard values'!R39, "")</f>
        <v/>
      </c>
      <c r="S150" s="517" t="str">
        <f>IF('User defined standard values'!S39&lt;&gt;"",'User defined standard values'!S39, "")</f>
        <v/>
      </c>
      <c r="T150" s="305" t="str">
        <f>IF('User defined standard values'!T39&lt;&gt;"",'User defined standard values'!T39, "")</f>
        <v/>
      </c>
      <c r="U150" s="308" t="str">
        <f>IF('User defined standard values'!U39&lt;&gt;"",'User defined standard values'!U39, "")</f>
        <v/>
      </c>
    </row>
    <row r="151" spans="1:21">
      <c r="A151" s="215"/>
      <c r="B151" s="306"/>
      <c r="C151" s="438" t="str">
        <f>IF('User defined standard values'!C40&lt;&gt;"",'User defined standard values'!C40, "")</f>
        <v/>
      </c>
      <c r="D151" s="308"/>
      <c r="E151" s="440" t="str">
        <f>IF('User defined standard values'!E40&lt;&gt;"",'User defined standard values'!E40, "")</f>
        <v/>
      </c>
      <c r="F151" s="218" t="str">
        <f>IF('User defined standard values'!F40&lt;&gt;"",'User defined standard values'!F40, "")</f>
        <v/>
      </c>
      <c r="G151" s="442" t="str">
        <f>IF('User defined standard values'!G40&lt;&gt;"",'User defined standard values'!G40, "")</f>
        <v/>
      </c>
      <c r="H151" s="439">
        <f>IF('User defined standard values'!H40&lt;&gt;"",'User defined standard values'!H40, "")</f>
        <v>0</v>
      </c>
      <c r="I151" s="229" t="str">
        <f>IF('User defined standard values'!I40&lt;&gt;"",'User defined standard values'!I40, "")</f>
        <v/>
      </c>
      <c r="J151" s="442" t="str">
        <f>IF('User defined standard values'!J40&lt;&gt;"",'User defined standard values'!J40, "")</f>
        <v/>
      </c>
      <c r="K151" s="442" t="str">
        <f>IF('User defined standard values'!K40&lt;&gt;"",'User defined standard values'!K40, "")</f>
        <v/>
      </c>
      <c r="L151" s="307">
        <f>IF('User defined standard values'!L40&lt;&gt;"",'User defined standard values'!L40, "")</f>
        <v>0</v>
      </c>
      <c r="M151" s="218" t="str">
        <f>IF('User defined standard values'!M40&lt;&gt;"",'User defined standard values'!M40, "")</f>
        <v/>
      </c>
      <c r="N151" s="442" t="str">
        <f>IF('User defined standard values'!N40&lt;&gt;"",'User defined standard values'!N40, "")</f>
        <v/>
      </c>
      <c r="O151" s="509" t="str">
        <f>IF('User defined standard values'!O40&lt;&gt;"",'User defined standard values'!O40, "")</f>
        <v/>
      </c>
      <c r="P151" s="439" t="str">
        <f>IF('User defined standard values'!P40&lt;&gt;"",'User defined standard values'!P40, "")</f>
        <v/>
      </c>
      <c r="Q151" s="218" t="str">
        <f>IF('User defined standard values'!Q40&lt;&gt;"",'User defined standard values'!Q40, "")</f>
        <v/>
      </c>
      <c r="R151" s="441" t="str">
        <f>IF('User defined standard values'!R40&lt;&gt;"",'User defined standard values'!R40, "")</f>
        <v/>
      </c>
      <c r="S151" s="517" t="str">
        <f>IF('User defined standard values'!S40&lt;&gt;"",'User defined standard values'!S40, "")</f>
        <v/>
      </c>
      <c r="T151" s="305" t="str">
        <f>IF('User defined standard values'!T40&lt;&gt;"",'User defined standard values'!T40, "")</f>
        <v/>
      </c>
      <c r="U151" s="308" t="str">
        <f>IF('User defined standard values'!U40&lt;&gt;"",'User defined standard values'!U40, "")</f>
        <v/>
      </c>
    </row>
    <row r="152" spans="1:21">
      <c r="A152" s="215"/>
      <c r="B152" s="306"/>
      <c r="C152" s="438" t="str">
        <f>IF('User defined standard values'!C41&lt;&gt;"",'User defined standard values'!C41, "")</f>
        <v/>
      </c>
      <c r="D152" s="308"/>
      <c r="E152" s="440" t="str">
        <f>IF('User defined standard values'!E41&lt;&gt;"",'User defined standard values'!E41, "")</f>
        <v/>
      </c>
      <c r="F152" s="218" t="str">
        <f>IF('User defined standard values'!F41&lt;&gt;"",'User defined standard values'!F41, "")</f>
        <v/>
      </c>
      <c r="G152" s="442" t="str">
        <f>IF('User defined standard values'!G41&lt;&gt;"",'User defined standard values'!G41, "")</f>
        <v/>
      </c>
      <c r="H152" s="439">
        <f>IF('User defined standard values'!H41&lt;&gt;"",'User defined standard values'!H41, "")</f>
        <v>0</v>
      </c>
      <c r="I152" s="229" t="str">
        <f>IF('User defined standard values'!I41&lt;&gt;"",'User defined standard values'!I41, "")</f>
        <v/>
      </c>
      <c r="J152" s="442" t="str">
        <f>IF('User defined standard values'!J41&lt;&gt;"",'User defined standard values'!J41, "")</f>
        <v/>
      </c>
      <c r="K152" s="442" t="str">
        <f>IF('User defined standard values'!K41&lt;&gt;"",'User defined standard values'!K41, "")</f>
        <v/>
      </c>
      <c r="L152" s="307">
        <f>IF('User defined standard values'!L41&lt;&gt;"",'User defined standard values'!L41, "")</f>
        <v>0</v>
      </c>
      <c r="M152" s="218" t="str">
        <f>IF('User defined standard values'!M41&lt;&gt;"",'User defined standard values'!M41, "")</f>
        <v/>
      </c>
      <c r="N152" s="442" t="str">
        <f>IF('User defined standard values'!N41&lt;&gt;"",'User defined standard values'!N41, "")</f>
        <v/>
      </c>
      <c r="O152" s="509" t="str">
        <f>IF('User defined standard values'!O41&lt;&gt;"",'User defined standard values'!O41, "")</f>
        <v/>
      </c>
      <c r="P152" s="439" t="str">
        <f>IF('User defined standard values'!P41&lt;&gt;"",'User defined standard values'!P41, "")</f>
        <v/>
      </c>
      <c r="Q152" s="218" t="str">
        <f>IF('User defined standard values'!Q41&lt;&gt;"",'User defined standard values'!Q41, "")</f>
        <v/>
      </c>
      <c r="R152" s="441" t="str">
        <f>IF('User defined standard values'!R41&lt;&gt;"",'User defined standard values'!R41, "")</f>
        <v/>
      </c>
      <c r="S152" s="517" t="str">
        <f>IF('User defined standard values'!S41&lt;&gt;"",'User defined standard values'!S41, "")</f>
        <v/>
      </c>
      <c r="T152" s="305" t="str">
        <f>IF('User defined standard values'!T41&lt;&gt;"",'User defined standard values'!T41, "")</f>
        <v/>
      </c>
      <c r="U152" s="308" t="str">
        <f>IF('User defined standard values'!U41&lt;&gt;"",'User defined standard values'!U41, "")</f>
        <v/>
      </c>
    </row>
    <row r="153" spans="1:21">
      <c r="A153" s="215"/>
      <c r="B153" s="306"/>
      <c r="C153" s="438" t="str">
        <f>IF('User defined standard values'!C42&lt;&gt;"",'User defined standard values'!C42, "")</f>
        <v/>
      </c>
      <c r="D153" s="308"/>
      <c r="E153" s="440" t="str">
        <f>IF('User defined standard values'!E42&lt;&gt;"",'User defined standard values'!E42, "")</f>
        <v/>
      </c>
      <c r="F153" s="218" t="str">
        <f>IF('User defined standard values'!F42&lt;&gt;"",'User defined standard values'!F42, "")</f>
        <v/>
      </c>
      <c r="G153" s="442" t="str">
        <f>IF('User defined standard values'!G42&lt;&gt;"",'User defined standard values'!G42, "")</f>
        <v/>
      </c>
      <c r="H153" s="439">
        <f>IF('User defined standard values'!H42&lt;&gt;"",'User defined standard values'!H42, "")</f>
        <v>0</v>
      </c>
      <c r="I153" s="229" t="str">
        <f>IF('User defined standard values'!I42&lt;&gt;"",'User defined standard values'!I42, "")</f>
        <v/>
      </c>
      <c r="J153" s="442" t="str">
        <f>IF('User defined standard values'!J42&lt;&gt;"",'User defined standard values'!J42, "")</f>
        <v/>
      </c>
      <c r="K153" s="442" t="str">
        <f>IF('User defined standard values'!K42&lt;&gt;"",'User defined standard values'!K42, "")</f>
        <v/>
      </c>
      <c r="L153" s="307">
        <f>IF('User defined standard values'!L42&lt;&gt;"",'User defined standard values'!L42, "")</f>
        <v>0</v>
      </c>
      <c r="M153" s="218" t="str">
        <f>IF('User defined standard values'!M42&lt;&gt;"",'User defined standard values'!M42, "")</f>
        <v/>
      </c>
      <c r="N153" s="442" t="str">
        <f>IF('User defined standard values'!N42&lt;&gt;"",'User defined standard values'!N42, "")</f>
        <v/>
      </c>
      <c r="O153" s="509" t="str">
        <f>IF('User defined standard values'!O42&lt;&gt;"",'User defined standard values'!O42, "")</f>
        <v/>
      </c>
      <c r="P153" s="439" t="str">
        <f>IF('User defined standard values'!P42&lt;&gt;"",'User defined standard values'!P42, "")</f>
        <v/>
      </c>
      <c r="Q153" s="218" t="str">
        <f>IF('User defined standard values'!Q42&lt;&gt;"",'User defined standard values'!Q42, "")</f>
        <v/>
      </c>
      <c r="R153" s="441" t="str">
        <f>IF('User defined standard values'!R42&lt;&gt;"",'User defined standard values'!R42, "")</f>
        <v/>
      </c>
      <c r="S153" s="517" t="str">
        <f>IF('User defined standard values'!S42&lt;&gt;"",'User defined standard values'!S42, "")</f>
        <v/>
      </c>
      <c r="T153" s="305" t="str">
        <f>IF('User defined standard values'!T42&lt;&gt;"",'User defined standard values'!T42, "")</f>
        <v/>
      </c>
      <c r="U153" s="308" t="str">
        <f>IF('User defined standard values'!U42&lt;&gt;"",'User defined standard values'!U42, "")</f>
        <v/>
      </c>
    </row>
    <row r="154" spans="1:21">
      <c r="A154" s="215"/>
      <c r="B154" s="306"/>
      <c r="C154" s="438" t="str">
        <f>IF('User defined standard values'!C43&lt;&gt;"",'User defined standard values'!C43, "")</f>
        <v/>
      </c>
      <c r="D154" s="308"/>
      <c r="E154" s="440" t="str">
        <f>IF('User defined standard values'!E43&lt;&gt;"",'User defined standard values'!E43, "")</f>
        <v/>
      </c>
      <c r="F154" s="218" t="str">
        <f>IF('User defined standard values'!F43&lt;&gt;"",'User defined standard values'!F43, "")</f>
        <v/>
      </c>
      <c r="G154" s="442" t="str">
        <f>IF('User defined standard values'!G43&lt;&gt;"",'User defined standard values'!G43, "")</f>
        <v/>
      </c>
      <c r="H154" s="439">
        <f>IF('User defined standard values'!H43&lt;&gt;"",'User defined standard values'!H43, "")</f>
        <v>0</v>
      </c>
      <c r="I154" s="229" t="str">
        <f>IF('User defined standard values'!I43&lt;&gt;"",'User defined standard values'!I43, "")</f>
        <v/>
      </c>
      <c r="J154" s="442" t="str">
        <f>IF('User defined standard values'!J43&lt;&gt;"",'User defined standard values'!J43, "")</f>
        <v/>
      </c>
      <c r="K154" s="442" t="str">
        <f>IF('User defined standard values'!K43&lt;&gt;"",'User defined standard values'!K43, "")</f>
        <v/>
      </c>
      <c r="L154" s="307">
        <f>IF('User defined standard values'!L43&lt;&gt;"",'User defined standard values'!L43, "")</f>
        <v>0</v>
      </c>
      <c r="M154" s="218" t="str">
        <f>IF('User defined standard values'!M43&lt;&gt;"",'User defined standard values'!M43, "")</f>
        <v/>
      </c>
      <c r="N154" s="442" t="str">
        <f>IF('User defined standard values'!N43&lt;&gt;"",'User defined standard values'!N43, "")</f>
        <v/>
      </c>
      <c r="O154" s="509" t="str">
        <f>IF('User defined standard values'!O43&lt;&gt;"",'User defined standard values'!O43, "")</f>
        <v/>
      </c>
      <c r="P154" s="439" t="str">
        <f>IF('User defined standard values'!P43&lt;&gt;"",'User defined standard values'!P43, "")</f>
        <v/>
      </c>
      <c r="Q154" s="218" t="str">
        <f>IF('User defined standard values'!Q43&lt;&gt;"",'User defined standard values'!Q43, "")</f>
        <v/>
      </c>
      <c r="R154" s="441" t="str">
        <f>IF('User defined standard values'!R43&lt;&gt;"",'User defined standard values'!R43, "")</f>
        <v/>
      </c>
      <c r="S154" s="517" t="str">
        <f>IF('User defined standard values'!S43&lt;&gt;"",'User defined standard values'!S43, "")</f>
        <v/>
      </c>
      <c r="T154" s="305" t="str">
        <f>IF('User defined standard values'!T43&lt;&gt;"",'User defined standard values'!T43, "")</f>
        <v/>
      </c>
      <c r="U154" s="308" t="str">
        <f>IF('User defined standard values'!U43&lt;&gt;"",'User defined standard values'!U43, "")</f>
        <v/>
      </c>
    </row>
    <row r="155" spans="1:21">
      <c r="A155" s="215"/>
      <c r="B155" s="306"/>
      <c r="C155" s="438" t="str">
        <f>IF('User defined standard values'!C44&lt;&gt;"",'User defined standard values'!C44, "")</f>
        <v/>
      </c>
      <c r="D155" s="308"/>
      <c r="E155" s="440" t="str">
        <f>IF('User defined standard values'!E44&lt;&gt;"",'User defined standard values'!E44, "")</f>
        <v/>
      </c>
      <c r="F155" s="218" t="str">
        <f>IF('User defined standard values'!F44&lt;&gt;"",'User defined standard values'!F44, "")</f>
        <v/>
      </c>
      <c r="G155" s="442" t="str">
        <f>IF('User defined standard values'!G44&lt;&gt;"",'User defined standard values'!G44, "")</f>
        <v/>
      </c>
      <c r="H155" s="439">
        <f>IF('User defined standard values'!H44&lt;&gt;"",'User defined standard values'!H44, "")</f>
        <v>0</v>
      </c>
      <c r="I155" s="229" t="str">
        <f>IF('User defined standard values'!I44&lt;&gt;"",'User defined standard values'!I44, "")</f>
        <v/>
      </c>
      <c r="J155" s="442" t="str">
        <f>IF('User defined standard values'!J44&lt;&gt;"",'User defined standard values'!J44, "")</f>
        <v/>
      </c>
      <c r="K155" s="442" t="str">
        <f>IF('User defined standard values'!K44&lt;&gt;"",'User defined standard values'!K44, "")</f>
        <v/>
      </c>
      <c r="L155" s="307">
        <f>IF('User defined standard values'!L44&lt;&gt;"",'User defined standard values'!L44, "")</f>
        <v>0</v>
      </c>
      <c r="M155" s="218" t="str">
        <f>IF('User defined standard values'!M44&lt;&gt;"",'User defined standard values'!M44, "")</f>
        <v/>
      </c>
      <c r="N155" s="442" t="str">
        <f>IF('User defined standard values'!N44&lt;&gt;"",'User defined standard values'!N44, "")</f>
        <v/>
      </c>
      <c r="O155" s="509" t="str">
        <f>IF('User defined standard values'!O44&lt;&gt;"",'User defined standard values'!O44, "")</f>
        <v/>
      </c>
      <c r="P155" s="439" t="str">
        <f>IF('User defined standard values'!P44&lt;&gt;"",'User defined standard values'!P44, "")</f>
        <v/>
      </c>
      <c r="Q155" s="218" t="str">
        <f>IF('User defined standard values'!Q44&lt;&gt;"",'User defined standard values'!Q44, "")</f>
        <v/>
      </c>
      <c r="R155" s="441" t="str">
        <f>IF('User defined standard values'!R44&lt;&gt;"",'User defined standard values'!R44, "")</f>
        <v/>
      </c>
      <c r="S155" s="517" t="str">
        <f>IF('User defined standard values'!S44&lt;&gt;"",'User defined standard values'!S44, "")</f>
        <v/>
      </c>
      <c r="T155" s="305" t="str">
        <f>IF('User defined standard values'!T44&lt;&gt;"",'User defined standard values'!T44, "")</f>
        <v/>
      </c>
      <c r="U155" s="308" t="str">
        <f>IF('User defined standard values'!U44&lt;&gt;"",'User defined standard values'!U44, "")</f>
        <v/>
      </c>
    </row>
    <row r="156" spans="1:21">
      <c r="A156" s="215"/>
      <c r="B156" s="306"/>
      <c r="C156" s="438" t="str">
        <f>IF('User defined standard values'!C45&lt;&gt;"",'User defined standard values'!C45, "")</f>
        <v/>
      </c>
      <c r="D156" s="308"/>
      <c r="E156" s="440" t="str">
        <f>IF('User defined standard values'!E45&lt;&gt;"",'User defined standard values'!E45, "")</f>
        <v/>
      </c>
      <c r="F156" s="218" t="str">
        <f>IF('User defined standard values'!F45&lt;&gt;"",'User defined standard values'!F45, "")</f>
        <v/>
      </c>
      <c r="G156" s="442" t="str">
        <f>IF('User defined standard values'!G45&lt;&gt;"",'User defined standard values'!G45, "")</f>
        <v/>
      </c>
      <c r="H156" s="439">
        <f>IF('User defined standard values'!H45&lt;&gt;"",'User defined standard values'!H45, "")</f>
        <v>0</v>
      </c>
      <c r="I156" s="229" t="str">
        <f>IF('User defined standard values'!I45&lt;&gt;"",'User defined standard values'!I45, "")</f>
        <v/>
      </c>
      <c r="J156" s="442" t="str">
        <f>IF('User defined standard values'!J45&lt;&gt;"",'User defined standard values'!J45, "")</f>
        <v/>
      </c>
      <c r="K156" s="442" t="str">
        <f>IF('User defined standard values'!K45&lt;&gt;"",'User defined standard values'!K45, "")</f>
        <v/>
      </c>
      <c r="L156" s="307">
        <f>IF('User defined standard values'!L45&lt;&gt;"",'User defined standard values'!L45, "")</f>
        <v>0</v>
      </c>
      <c r="M156" s="218" t="str">
        <f>IF('User defined standard values'!M45&lt;&gt;"",'User defined standard values'!M45, "")</f>
        <v/>
      </c>
      <c r="N156" s="442" t="str">
        <f>IF('User defined standard values'!N45&lt;&gt;"",'User defined standard values'!N45, "")</f>
        <v/>
      </c>
      <c r="O156" s="509" t="str">
        <f>IF('User defined standard values'!O45&lt;&gt;"",'User defined standard values'!O45, "")</f>
        <v/>
      </c>
      <c r="P156" s="439" t="str">
        <f>IF('User defined standard values'!P45&lt;&gt;"",'User defined standard values'!P45, "")</f>
        <v/>
      </c>
      <c r="Q156" s="218" t="str">
        <f>IF('User defined standard values'!Q45&lt;&gt;"",'User defined standard values'!Q45, "")</f>
        <v/>
      </c>
      <c r="R156" s="441" t="str">
        <f>IF('User defined standard values'!R45&lt;&gt;"",'User defined standard values'!R45, "")</f>
        <v/>
      </c>
      <c r="S156" s="517" t="str">
        <f>IF('User defined standard values'!S45&lt;&gt;"",'User defined standard values'!S45, "")</f>
        <v/>
      </c>
      <c r="T156" s="305" t="str">
        <f>IF('User defined standard values'!T45&lt;&gt;"",'User defined standard values'!T45, "")</f>
        <v/>
      </c>
      <c r="U156" s="308" t="str">
        <f>IF('User defined standard values'!U45&lt;&gt;"",'User defined standard values'!U45, "")</f>
        <v/>
      </c>
    </row>
    <row r="157" spans="1:21">
      <c r="A157" s="215"/>
      <c r="B157" s="306"/>
      <c r="C157" s="438" t="str">
        <f>IF('User defined standard values'!C46&lt;&gt;"",'User defined standard values'!C46, "")</f>
        <v/>
      </c>
      <c r="D157" s="308"/>
      <c r="E157" s="440" t="str">
        <f>IF('User defined standard values'!E46&lt;&gt;"",'User defined standard values'!E46, "")</f>
        <v/>
      </c>
      <c r="F157" s="218" t="str">
        <f>IF('User defined standard values'!F46&lt;&gt;"",'User defined standard values'!F46, "")</f>
        <v/>
      </c>
      <c r="G157" s="442" t="str">
        <f>IF('User defined standard values'!G46&lt;&gt;"",'User defined standard values'!G46, "")</f>
        <v/>
      </c>
      <c r="H157" s="439">
        <f>IF('User defined standard values'!H46&lt;&gt;"",'User defined standard values'!H46, "")</f>
        <v>0</v>
      </c>
      <c r="I157" s="229" t="str">
        <f>IF('User defined standard values'!I46&lt;&gt;"",'User defined standard values'!I46, "")</f>
        <v/>
      </c>
      <c r="J157" s="442" t="str">
        <f>IF('User defined standard values'!J46&lt;&gt;"",'User defined standard values'!J46, "")</f>
        <v/>
      </c>
      <c r="K157" s="442" t="str">
        <f>IF('User defined standard values'!K46&lt;&gt;"",'User defined standard values'!K46, "")</f>
        <v/>
      </c>
      <c r="L157" s="307">
        <f>IF('User defined standard values'!L46&lt;&gt;"",'User defined standard values'!L46, "")</f>
        <v>0</v>
      </c>
      <c r="M157" s="218" t="str">
        <f>IF('User defined standard values'!M46&lt;&gt;"",'User defined standard values'!M46, "")</f>
        <v/>
      </c>
      <c r="N157" s="442" t="str">
        <f>IF('User defined standard values'!N46&lt;&gt;"",'User defined standard values'!N46, "")</f>
        <v/>
      </c>
      <c r="O157" s="509" t="str">
        <f>IF('User defined standard values'!O46&lt;&gt;"",'User defined standard values'!O46, "")</f>
        <v/>
      </c>
      <c r="P157" s="439" t="str">
        <f>IF('User defined standard values'!P46&lt;&gt;"",'User defined standard values'!P46, "")</f>
        <v/>
      </c>
      <c r="Q157" s="218" t="str">
        <f>IF('User defined standard values'!Q46&lt;&gt;"",'User defined standard values'!Q46, "")</f>
        <v/>
      </c>
      <c r="R157" s="441" t="str">
        <f>IF('User defined standard values'!R46&lt;&gt;"",'User defined standard values'!R46, "")</f>
        <v/>
      </c>
      <c r="S157" s="517" t="str">
        <f>IF('User defined standard values'!S46&lt;&gt;"",'User defined standard values'!S46, "")</f>
        <v/>
      </c>
      <c r="T157" s="305" t="str">
        <f>IF('User defined standard values'!T46&lt;&gt;"",'User defined standard values'!T46, "")</f>
        <v/>
      </c>
      <c r="U157" s="308" t="str">
        <f>IF('User defined standard values'!U46&lt;&gt;"",'User defined standard values'!U46, "")</f>
        <v/>
      </c>
    </row>
    <row r="158" spans="1:21">
      <c r="A158" s="215"/>
      <c r="B158" s="306"/>
      <c r="C158" s="438" t="str">
        <f>IF('User defined standard values'!C47&lt;&gt;"",'User defined standard values'!C47, "")</f>
        <v/>
      </c>
      <c r="D158" s="308"/>
      <c r="E158" s="440" t="str">
        <f>IF('User defined standard values'!E47&lt;&gt;"",'User defined standard values'!E47, "")</f>
        <v/>
      </c>
      <c r="F158" s="218" t="str">
        <f>IF('User defined standard values'!F47&lt;&gt;"",'User defined standard values'!F47, "")</f>
        <v/>
      </c>
      <c r="G158" s="442" t="str">
        <f>IF('User defined standard values'!G47&lt;&gt;"",'User defined standard values'!G47, "")</f>
        <v/>
      </c>
      <c r="H158" s="439">
        <f>IF('User defined standard values'!H47&lt;&gt;"",'User defined standard values'!H47, "")</f>
        <v>0</v>
      </c>
      <c r="I158" s="229" t="str">
        <f>IF('User defined standard values'!I47&lt;&gt;"",'User defined standard values'!I47, "")</f>
        <v/>
      </c>
      <c r="J158" s="442" t="str">
        <f>IF('User defined standard values'!J47&lt;&gt;"",'User defined standard values'!J47, "")</f>
        <v/>
      </c>
      <c r="K158" s="442" t="str">
        <f>IF('User defined standard values'!K47&lt;&gt;"",'User defined standard values'!K47, "")</f>
        <v/>
      </c>
      <c r="L158" s="307">
        <f>IF('User defined standard values'!L47&lt;&gt;"",'User defined standard values'!L47, "")</f>
        <v>0</v>
      </c>
      <c r="M158" s="218" t="str">
        <f>IF('User defined standard values'!M47&lt;&gt;"",'User defined standard values'!M47, "")</f>
        <v/>
      </c>
      <c r="N158" s="442" t="str">
        <f>IF('User defined standard values'!N47&lt;&gt;"",'User defined standard values'!N47, "")</f>
        <v/>
      </c>
      <c r="O158" s="509" t="str">
        <f>IF('User defined standard values'!O47&lt;&gt;"",'User defined standard values'!O47, "")</f>
        <v/>
      </c>
      <c r="P158" s="439" t="str">
        <f>IF('User defined standard values'!P47&lt;&gt;"",'User defined standard values'!P47, "")</f>
        <v/>
      </c>
      <c r="Q158" s="218" t="str">
        <f>IF('User defined standard values'!Q47&lt;&gt;"",'User defined standard values'!Q47, "")</f>
        <v/>
      </c>
      <c r="R158" s="441" t="str">
        <f>IF('User defined standard values'!R47&lt;&gt;"",'User defined standard values'!R47, "")</f>
        <v/>
      </c>
      <c r="S158" s="517" t="str">
        <f>IF('User defined standard values'!S47&lt;&gt;"",'User defined standard values'!S47, "")</f>
        <v/>
      </c>
      <c r="T158" s="305" t="str">
        <f>IF('User defined standard values'!T47&lt;&gt;"",'User defined standard values'!T47, "")</f>
        <v/>
      </c>
      <c r="U158" s="308" t="str">
        <f>IF('User defined standard values'!U47&lt;&gt;"",'User defined standard values'!U47, "")</f>
        <v/>
      </c>
    </row>
    <row r="159" spans="1:21" ht="13.5" thickBot="1">
      <c r="A159" s="215"/>
      <c r="B159" s="255"/>
      <c r="C159" s="260"/>
      <c r="D159" s="270"/>
      <c r="E159" s="256"/>
      <c r="F159" s="257"/>
      <c r="G159" s="257"/>
      <c r="H159" s="260"/>
      <c r="I159" s="256"/>
      <c r="J159" s="257"/>
      <c r="K159" s="257"/>
      <c r="L159" s="260"/>
      <c r="M159" s="256"/>
      <c r="N159" s="257"/>
      <c r="O159" s="257"/>
      <c r="P159" s="260"/>
      <c r="Q159" s="258"/>
      <c r="R159" s="259"/>
      <c r="S159" s="268"/>
      <c r="T159" s="270"/>
      <c r="U159" s="309"/>
    </row>
    <row r="160" spans="1:21">
      <c r="T160" s="227"/>
    </row>
  </sheetData>
  <sheetProtection password="9D8F" sheet="1"/>
  <customSheetViews>
    <customSheetView guid="{AD88818B-9F97-4B1E-9426-0DECE603685E}" scale="80" fitToPage="1" showRuler="0">
      <pane ySplit="7" topLeftCell="A8" activePane="bottomLeft" state="frozenSplit"/>
      <selection pane="bottomLeft"/>
      <pageMargins left="0.7" right="0.7" top="0.75" bottom="0.75" header="0.3" footer="0.3"/>
      <headerFooter alignWithMargins="0">
        <oddFooter>&amp;L&amp;8&amp;F&amp;C&amp;8&amp;A&amp;R&amp;8page&amp;P</oddFooter>
      </headerFooter>
    </customSheetView>
    <customSheetView guid="{7EB5D807-CE20-46E2-AEE6-2C193E010EA4}" scale="80" fitToPage="1" showRuler="0">
      <pane ySplit="7" topLeftCell="A8" activePane="bottomLeft" state="frozenSplit"/>
      <selection pane="bottomLeft"/>
      <pageMargins left="0.7" right="0.7" top="0.75" bottom="0.75" header="0.3" footer="0.3"/>
      <headerFooter alignWithMargins="0">
        <oddFooter>&amp;L&amp;8&amp;F&amp;C&amp;8&amp;A&amp;R&amp;8page&amp;P</oddFooter>
      </headerFooter>
    </customSheetView>
  </customSheetViews>
  <mergeCells count="21">
    <mergeCell ref="B119:C119"/>
    <mergeCell ref="F6:F7"/>
    <mergeCell ref="E6:E7"/>
    <mergeCell ref="B107:C107"/>
    <mergeCell ref="B114:C114"/>
    <mergeCell ref="B4:C4"/>
    <mergeCell ref="R4:S4"/>
    <mergeCell ref="E5:L5"/>
    <mergeCell ref="M5:N5"/>
    <mergeCell ref="R5:S5"/>
    <mergeCell ref="L6:L7"/>
    <mergeCell ref="D6:D7"/>
    <mergeCell ref="S6:S7"/>
    <mergeCell ref="K6:K7"/>
    <mergeCell ref="H6:H7"/>
    <mergeCell ref="R6:R7"/>
    <mergeCell ref="N6:N7"/>
    <mergeCell ref="M6:M7"/>
    <mergeCell ref="I6:I7"/>
    <mergeCell ref="G6:G7"/>
    <mergeCell ref="J6:J7"/>
  </mergeCells>
  <phoneticPr fontId="28" type="noConversion"/>
  <conditionalFormatting sqref="E159:S159 T113:T114 T106:T107 T119:T158 E8:U9">
    <cfRule type="cellIs" dxfId="0" priority="1" stopIfTrue="1" operator="equal">
      <formula>"N.A."</formula>
    </cfRule>
  </conditionalFormatting>
  <pageMargins left="0.75" right="0.75" top="1" bottom="1" header="0.5" footer="0.5"/>
  <headerFooter alignWithMargins="0">
    <oddFooter>&amp;L&amp;8&amp;F&amp;C&amp;8&amp;A&amp;R&amp;8page&amp;P</oddFooter>
  </headerFooter>
  <drawing r:id="rId1"/>
  <legacy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sheetPr codeName="Лист4"/>
  <dimension ref="A1:N15"/>
  <sheetViews>
    <sheetView zoomScaleNormal="100" workbookViewId="0">
      <selection activeCell="I19" sqref="I19"/>
    </sheetView>
  </sheetViews>
  <sheetFormatPr defaultColWidth="8.85546875" defaultRowHeight="12.75"/>
  <cols>
    <col min="1" max="1" width="4.7109375" customWidth="1"/>
    <col min="2" max="2" width="43.85546875" customWidth="1"/>
    <col min="13" max="13" width="55.140625" customWidth="1"/>
  </cols>
  <sheetData>
    <row r="1" spans="1:14" ht="84" customHeight="1">
      <c r="A1" s="2855"/>
      <c r="B1" s="2856"/>
      <c r="C1" s="2856"/>
      <c r="D1" s="2856"/>
      <c r="E1" s="2856"/>
      <c r="F1" s="2856"/>
      <c r="G1" s="2856"/>
      <c r="H1" s="2856"/>
      <c r="I1" s="2856"/>
      <c r="J1" s="2856"/>
      <c r="K1" s="2856"/>
      <c r="L1" s="2856"/>
      <c r="M1" s="2857"/>
    </row>
    <row r="2" spans="1:14" ht="24" customHeight="1">
      <c r="A2" s="2858" t="s">
        <v>55</v>
      </c>
      <c r="B2" s="2859"/>
      <c r="C2" s="2859"/>
      <c r="D2" s="2859"/>
      <c r="E2" s="2859"/>
      <c r="F2" s="2859"/>
      <c r="G2" s="2859"/>
      <c r="H2" s="2859"/>
      <c r="I2" s="2859"/>
      <c r="J2" s="2859"/>
      <c r="K2" s="2859"/>
      <c r="L2" s="2859"/>
      <c r="M2" s="2860"/>
    </row>
    <row r="3" spans="1:14" ht="18">
      <c r="A3" s="2638">
        <v>1</v>
      </c>
      <c r="B3" s="2639" t="s">
        <v>56</v>
      </c>
      <c r="C3" s="2849" t="s">
        <v>452</v>
      </c>
      <c r="D3" s="2849"/>
      <c r="E3" s="2849"/>
      <c r="F3" s="2849"/>
      <c r="G3" s="2849"/>
      <c r="H3" s="2849"/>
      <c r="I3" s="2849"/>
      <c r="J3" s="2849"/>
      <c r="K3" s="2849"/>
      <c r="L3" s="2849"/>
      <c r="M3" s="2850"/>
    </row>
    <row r="4" spans="1:14" ht="18">
      <c r="A4" s="2638">
        <v>2</v>
      </c>
      <c r="B4" s="2639" t="s">
        <v>1796</v>
      </c>
      <c r="C4" s="2849" t="s">
        <v>1602</v>
      </c>
      <c r="D4" s="2849"/>
      <c r="E4" s="2849"/>
      <c r="F4" s="2849"/>
      <c r="G4" s="2849"/>
      <c r="H4" s="2849"/>
      <c r="I4" s="2849"/>
      <c r="J4" s="2849"/>
      <c r="K4" s="2849"/>
      <c r="L4" s="2849"/>
      <c r="M4" s="2850"/>
    </row>
    <row r="5" spans="1:14" ht="18">
      <c r="A5" s="2638">
        <v>3</v>
      </c>
      <c r="B5" s="2640" t="s">
        <v>57</v>
      </c>
      <c r="C5" s="2849" t="s">
        <v>1603</v>
      </c>
      <c r="D5" s="2861"/>
      <c r="E5" s="2861"/>
      <c r="F5" s="2861"/>
      <c r="G5" s="2861"/>
      <c r="H5" s="2861"/>
      <c r="I5" s="2861"/>
      <c r="J5" s="2861"/>
      <c r="K5" s="2861"/>
      <c r="L5" s="2861"/>
      <c r="M5" s="2862"/>
    </row>
    <row r="6" spans="1:14" ht="21">
      <c r="A6" s="2638">
        <v>4</v>
      </c>
      <c r="B6" s="2640" t="s">
        <v>58</v>
      </c>
      <c r="C6" s="2849" t="s">
        <v>1604</v>
      </c>
      <c r="D6" s="2849"/>
      <c r="E6" s="2849"/>
      <c r="F6" s="2849"/>
      <c r="G6" s="2849"/>
      <c r="H6" s="2849"/>
      <c r="I6" s="2849"/>
      <c r="J6" s="2849"/>
      <c r="K6" s="2849"/>
      <c r="L6" s="2849"/>
      <c r="M6" s="2850"/>
    </row>
    <row r="7" spans="1:14" ht="21">
      <c r="A7" s="2638">
        <v>5</v>
      </c>
      <c r="B7" s="2640" t="s">
        <v>59</v>
      </c>
      <c r="C7" s="2849" t="s">
        <v>1605</v>
      </c>
      <c r="D7" s="2849"/>
      <c r="E7" s="2849"/>
      <c r="F7" s="2849"/>
      <c r="G7" s="2849"/>
      <c r="H7" s="2849"/>
      <c r="I7" s="2849"/>
      <c r="J7" s="2849"/>
      <c r="K7" s="2849"/>
      <c r="L7" s="2849"/>
      <c r="M7" s="2850"/>
    </row>
    <row r="8" spans="1:14" ht="18">
      <c r="A8" s="2638">
        <v>6</v>
      </c>
      <c r="B8" s="2639" t="s">
        <v>1795</v>
      </c>
      <c r="C8" s="2849" t="s">
        <v>1769</v>
      </c>
      <c r="D8" s="2849"/>
      <c r="E8" s="2849"/>
      <c r="F8" s="2849"/>
      <c r="G8" s="2849"/>
      <c r="H8" s="2849"/>
      <c r="I8" s="2849"/>
      <c r="J8" s="2849"/>
      <c r="K8" s="2849"/>
      <c r="L8" s="2849"/>
      <c r="M8" s="2850"/>
    </row>
    <row r="9" spans="1:14" ht="18">
      <c r="A9" s="2638">
        <v>7</v>
      </c>
      <c r="B9" s="2639" t="s">
        <v>60</v>
      </c>
      <c r="C9" s="2849" t="s">
        <v>1510</v>
      </c>
      <c r="D9" s="2849"/>
      <c r="E9" s="2849"/>
      <c r="F9" s="2849"/>
      <c r="G9" s="2849"/>
      <c r="H9" s="2849"/>
      <c r="I9" s="2849"/>
      <c r="J9" s="2849"/>
      <c r="K9" s="2849"/>
      <c r="L9" s="2849"/>
      <c r="M9" s="2850"/>
      <c r="N9" s="113"/>
    </row>
    <row r="10" spans="1:14" ht="18">
      <c r="A10" s="2638">
        <v>8</v>
      </c>
      <c r="B10" s="2639" t="s">
        <v>232</v>
      </c>
      <c r="C10" s="2853" t="s">
        <v>61</v>
      </c>
      <c r="D10" s="2853"/>
      <c r="E10" s="2853"/>
      <c r="F10" s="2853"/>
      <c r="G10" s="2853"/>
      <c r="H10" s="2853"/>
      <c r="I10" s="2853"/>
      <c r="J10" s="2853"/>
      <c r="K10" s="2853"/>
      <c r="L10" s="2853"/>
      <c r="M10" s="2854"/>
      <c r="N10" s="2641"/>
    </row>
    <row r="11" spans="1:14" ht="18">
      <c r="A11" s="2638">
        <v>9</v>
      </c>
      <c r="B11" s="2639" t="s">
        <v>62</v>
      </c>
      <c r="C11" s="2849" t="s">
        <v>1509</v>
      </c>
      <c r="D11" s="2849"/>
      <c r="E11" s="2849"/>
      <c r="F11" s="2849"/>
      <c r="G11" s="2849"/>
      <c r="H11" s="2849"/>
      <c r="I11" s="2849"/>
      <c r="J11" s="2849"/>
      <c r="K11" s="2849"/>
      <c r="L11" s="2849"/>
      <c r="M11" s="2850"/>
      <c r="N11" s="113"/>
    </row>
    <row r="12" spans="1:14" ht="18.75" thickBot="1">
      <c r="A12" s="2642">
        <v>10</v>
      </c>
      <c r="B12" s="2639" t="s">
        <v>63</v>
      </c>
      <c r="C12" s="2849" t="s">
        <v>1511</v>
      </c>
      <c r="D12" s="2849"/>
      <c r="E12" s="2849"/>
      <c r="F12" s="2849"/>
      <c r="G12" s="2849"/>
      <c r="H12" s="2849"/>
      <c r="I12" s="2849"/>
      <c r="J12" s="2849"/>
      <c r="K12" s="2849"/>
      <c r="L12" s="2849"/>
      <c r="M12" s="2850"/>
    </row>
    <row r="13" spans="1:14" ht="18.75" thickBot="1">
      <c r="A13" s="2778">
        <v>11</v>
      </c>
      <c r="B13" s="2643" t="s">
        <v>64</v>
      </c>
      <c r="C13" s="2851" t="s">
        <v>1606</v>
      </c>
      <c r="D13" s="2851"/>
      <c r="E13" s="2851"/>
      <c r="F13" s="2851"/>
      <c r="G13" s="2851"/>
      <c r="H13" s="2851"/>
      <c r="I13" s="2851"/>
      <c r="J13" s="2851"/>
      <c r="K13" s="2851"/>
      <c r="L13" s="2851"/>
      <c r="M13" s="2852"/>
    </row>
    <row r="14" spans="1:14" ht="18.75" thickBot="1">
      <c r="A14" s="2778">
        <v>12</v>
      </c>
      <c r="B14" s="2643" t="s">
        <v>1831</v>
      </c>
      <c r="C14" s="2851" t="s">
        <v>1798</v>
      </c>
      <c r="D14" s="2851"/>
      <c r="E14" s="2851"/>
      <c r="F14" s="2851"/>
      <c r="G14" s="2851"/>
      <c r="H14" s="2851"/>
      <c r="I14" s="2851"/>
      <c r="J14" s="2851"/>
      <c r="K14" s="2851"/>
      <c r="L14" s="2851"/>
      <c r="M14" s="2852"/>
    </row>
    <row r="15" spans="1:14" ht="18.75" thickBot="1">
      <c r="A15" s="2778">
        <v>13</v>
      </c>
      <c r="B15" s="2643" t="s">
        <v>481</v>
      </c>
      <c r="C15" s="2851" t="s">
        <v>1832</v>
      </c>
      <c r="D15" s="2851"/>
      <c r="E15" s="2851"/>
      <c r="F15" s="2851"/>
      <c r="G15" s="2851"/>
      <c r="H15" s="2851"/>
      <c r="I15" s="2851"/>
      <c r="J15" s="2851"/>
      <c r="K15" s="2851"/>
      <c r="L15" s="2851"/>
      <c r="M15" s="2852"/>
    </row>
  </sheetData>
  <mergeCells count="15">
    <mergeCell ref="A1:M1"/>
    <mergeCell ref="A2:M2"/>
    <mergeCell ref="C3:M3"/>
    <mergeCell ref="C4:M4"/>
    <mergeCell ref="C5:M5"/>
    <mergeCell ref="C8:M8"/>
    <mergeCell ref="C14:M14"/>
    <mergeCell ref="C15:M15"/>
    <mergeCell ref="C6:M6"/>
    <mergeCell ref="C7:M7"/>
    <mergeCell ref="C9:M9"/>
    <mergeCell ref="C10:M10"/>
    <mergeCell ref="C11:M11"/>
    <mergeCell ref="C12:M12"/>
    <mergeCell ref="C13:M13"/>
  </mergeCells>
  <phoneticPr fontId="184" type="noConversion"/>
  <hyperlinks>
    <hyperlink ref="B3" location="%D0%9E%D0%BF%D0%B8%D1%81!A1" display="Опис"/>
    <hyperlink ref="B4" location="'LUC%20(%D0%A3%D0%BA%D1%80%D0%92%D0%B5%D1%80)'!A1" display="LUC (УкрВер)"/>
    <hyperlink ref="B5" location="'Esca%20(%D0%A3%D0%BA%D1%80%D0%92%D0%B5%D1%80)'!A1" display="Esca (УкрВер)"/>
    <hyperlink ref="B6" location="'%D0%92%D0%B8%D0%BA%D0%B8%D0%B4%D0%B8%20N2O%20%D0%B7%D0%B3%D1%96%D0%B4%D0%BD%D0%BE%20%D0%9C%D0%93%D0%95%D0%97%D0%9A'!A1" display="Викиди N2O згідно МГЕЗК"/>
    <hyperlink ref="B7" location="'%D0%92%D0%B8%D0%BA%D0%B8%D0%B4%D0%B8%20N2O%20%D0%9F%D1%80%D0%B8%D0%BA%D0%BB%D0%B0%D0%B4%201'!A1" display="Викиди N2O Приклад 1"/>
    <hyperlink ref="B9" location="'%D0%95-%D0%A6%D0%91'!A1" display="Е-ЦБ"/>
    <hyperlink ref="B10" location="'%D0%9F%D1%80%D0%B8%D0%BA%D0%BB%D0%B0%D0%B4%201'!A1" display="Приклад 1"/>
    <hyperlink ref="B11" location="'%D0%95-%D0%9F%D0%A8'!A1" display="Е-ПШ"/>
    <hyperlink ref="B12" location="'%D0%95-%D0%9A%D0%A0'!A1" display="Е-КР"/>
    <hyperlink ref="B13" location="'F-%D0%A0%D0%BA'!A1" display="F-Рк"/>
  </hyperlinks>
  <pageMargins left="0.7" right="0.7" top="0.75" bottom="0.75" header="0.3" footer="0.3"/>
  <pageSetup paperSize="9" orientation="portrait" verticalDpi="0"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sheetPr>
    <pageSetUpPr fitToPage="1"/>
  </sheetPr>
  <dimension ref="A1:Q26"/>
  <sheetViews>
    <sheetView showGridLines="0" zoomScale="80" zoomScaleNormal="75" zoomScaleSheetLayoutView="100" zoomScalePageLayoutView="75" workbookViewId="0">
      <selection activeCell="F29" sqref="F29"/>
    </sheetView>
  </sheetViews>
  <sheetFormatPr defaultColWidth="11.42578125" defaultRowHeight="12.75"/>
  <cols>
    <col min="1" max="1" width="6.7109375" style="113" customWidth="1"/>
    <col min="2" max="2" width="32.140625" style="113" customWidth="1"/>
    <col min="3" max="3" width="5.28515625" style="113" customWidth="1"/>
    <col min="4" max="4" width="17.85546875" style="113" customWidth="1"/>
    <col min="5" max="5" width="44.42578125" style="113" customWidth="1"/>
    <col min="6" max="7" width="6" style="113" customWidth="1"/>
    <col min="8" max="8" width="16.140625" style="113" customWidth="1"/>
    <col min="9" max="9" width="18.85546875" style="113" customWidth="1"/>
    <col min="10" max="16384" width="11.42578125" style="113"/>
  </cols>
  <sheetData>
    <row r="1" spans="1:17" ht="102" customHeight="1">
      <c r="A1" s="1203"/>
      <c r="B1" s="1204"/>
      <c r="C1" s="1204"/>
      <c r="D1" s="1204"/>
      <c r="E1" s="1204"/>
      <c r="F1" s="1204"/>
      <c r="G1" s="1204"/>
      <c r="H1" s="1204"/>
      <c r="I1" s="1204"/>
      <c r="J1" s="1204"/>
      <c r="K1" s="1204"/>
      <c r="L1" s="1205"/>
      <c r="N1"/>
      <c r="O1"/>
      <c r="P1"/>
      <c r="Q1"/>
    </row>
    <row r="2" spans="1:17" ht="27.75" customHeight="1">
      <c r="A2" s="2867" t="s">
        <v>1059</v>
      </c>
      <c r="B2" s="2868"/>
      <c r="C2" s="2868"/>
      <c r="D2" s="2868"/>
      <c r="E2" s="2868"/>
      <c r="F2" s="2868"/>
      <c r="G2" s="2868"/>
      <c r="H2" s="2868"/>
      <c r="I2" s="2868"/>
      <c r="J2" s="2868"/>
      <c r="K2" s="2868"/>
      <c r="L2" s="2869"/>
      <c r="N2"/>
      <c r="O2"/>
      <c r="P2"/>
      <c r="Q2"/>
    </row>
    <row r="3" spans="1:17" s="410" customFormat="1" ht="18" customHeight="1">
      <c r="A3" s="2651">
        <v>1</v>
      </c>
      <c r="B3" s="2650" t="s">
        <v>1083</v>
      </c>
      <c r="C3" s="2649"/>
      <c r="D3" s="2849" t="s">
        <v>25</v>
      </c>
      <c r="E3" s="2849"/>
      <c r="F3" s="2849"/>
      <c r="G3" s="2849"/>
      <c r="H3" s="2849"/>
      <c r="I3" s="2849"/>
      <c r="J3" s="2849"/>
      <c r="K3" s="2849"/>
      <c r="L3" s="2850"/>
      <c r="N3" s="411"/>
      <c r="O3" s="411"/>
      <c r="P3" s="411"/>
      <c r="Q3" s="411"/>
    </row>
    <row r="4" spans="1:17" s="410" customFormat="1" ht="18" customHeight="1">
      <c r="A4" s="2651">
        <v>2</v>
      </c>
      <c r="B4" s="2650" t="s">
        <v>24</v>
      </c>
      <c r="C4" s="2649"/>
      <c r="D4" s="2865" t="s">
        <v>911</v>
      </c>
      <c r="E4" s="2865"/>
      <c r="F4" s="2865"/>
      <c r="G4" s="2865"/>
      <c r="H4" s="2865"/>
      <c r="I4" s="2865"/>
      <c r="J4" s="2865"/>
      <c r="K4" s="2865"/>
      <c r="L4" s="2866"/>
      <c r="N4" s="411"/>
      <c r="O4" s="411"/>
      <c r="P4" s="411"/>
      <c r="Q4" s="411"/>
    </row>
    <row r="5" spans="1:17" s="410" customFormat="1" ht="18" customHeight="1">
      <c r="A5" s="2652">
        <v>3</v>
      </c>
      <c r="B5" s="2646" t="s">
        <v>23</v>
      </c>
      <c r="C5" s="2644"/>
      <c r="D5" s="2865" t="s">
        <v>22</v>
      </c>
      <c r="E5" s="2865"/>
      <c r="F5" s="2865"/>
      <c r="G5" s="2865"/>
      <c r="H5" s="2865"/>
      <c r="I5" s="2865"/>
      <c r="J5" s="2865"/>
      <c r="K5" s="2865"/>
      <c r="L5" s="2866"/>
    </row>
    <row r="6" spans="1:17" s="410" customFormat="1" ht="18" customHeight="1">
      <c r="A6" s="2652">
        <v>4</v>
      </c>
      <c r="B6" s="2645" t="s">
        <v>76</v>
      </c>
      <c r="C6" s="2648"/>
      <c r="D6" s="2865" t="s">
        <v>75</v>
      </c>
      <c r="E6" s="2865"/>
      <c r="F6" s="2865"/>
      <c r="G6" s="2865"/>
      <c r="H6" s="2865"/>
      <c r="I6" s="2865"/>
      <c r="J6" s="2865"/>
      <c r="K6" s="2865"/>
      <c r="L6" s="2866"/>
      <c r="N6" s="411"/>
      <c r="O6" s="411"/>
      <c r="P6" s="411"/>
      <c r="Q6" s="411"/>
    </row>
    <row r="7" spans="1:17" s="410" customFormat="1" ht="18" customHeight="1">
      <c r="A7" s="2652">
        <v>5</v>
      </c>
      <c r="B7" s="2645" t="s">
        <v>74</v>
      </c>
      <c r="C7" s="2648"/>
      <c r="D7" s="2865" t="s">
        <v>73</v>
      </c>
      <c r="E7" s="2865"/>
      <c r="F7" s="2865"/>
      <c r="G7" s="2865"/>
      <c r="H7" s="2865"/>
      <c r="I7" s="2865"/>
      <c r="J7" s="2865"/>
      <c r="K7" s="2865"/>
      <c r="L7" s="2866"/>
      <c r="N7" s="411"/>
      <c r="O7" s="411"/>
      <c r="P7" s="411"/>
      <c r="Q7" s="411"/>
    </row>
    <row r="8" spans="1:17" s="410" customFormat="1" ht="18" customHeight="1">
      <c r="A8" s="2652">
        <v>6</v>
      </c>
      <c r="B8" s="2647" t="s">
        <v>72</v>
      </c>
      <c r="C8" s="2644"/>
      <c r="D8" s="2865" t="s">
        <v>71</v>
      </c>
      <c r="E8" s="2865"/>
      <c r="F8" s="2865"/>
      <c r="G8" s="2865"/>
      <c r="H8" s="2865"/>
      <c r="I8" s="2865"/>
      <c r="J8" s="2865"/>
      <c r="K8" s="2865"/>
      <c r="L8" s="2866"/>
      <c r="N8" s="411"/>
      <c r="O8" s="411"/>
      <c r="P8" s="411"/>
      <c r="Q8" s="411"/>
    </row>
    <row r="9" spans="1:17" s="410" customFormat="1" ht="18" customHeight="1">
      <c r="A9" s="2652">
        <v>7</v>
      </c>
      <c r="B9" s="2647" t="s">
        <v>956</v>
      </c>
      <c r="C9" s="2644"/>
      <c r="D9" s="2865" t="s">
        <v>70</v>
      </c>
      <c r="E9" s="2865"/>
      <c r="F9" s="2865"/>
      <c r="G9" s="2865"/>
      <c r="H9" s="2865"/>
      <c r="I9" s="2865"/>
      <c r="J9" s="2865"/>
      <c r="K9" s="2865"/>
      <c r="L9" s="2866"/>
      <c r="N9" s="411"/>
      <c r="O9" s="411"/>
      <c r="P9" s="411"/>
      <c r="Q9" s="411"/>
    </row>
    <row r="10" spans="1:17" s="410" customFormat="1" ht="18" customHeight="1">
      <c r="A10" s="2652">
        <v>8</v>
      </c>
      <c r="B10" s="2646" t="s">
        <v>69</v>
      </c>
      <c r="C10" s="2644"/>
      <c r="D10" s="2865" t="s">
        <v>68</v>
      </c>
      <c r="E10" s="2865"/>
      <c r="F10" s="2865"/>
      <c r="G10" s="2865"/>
      <c r="H10" s="2865"/>
      <c r="I10" s="2865"/>
      <c r="J10" s="2865"/>
      <c r="K10" s="2865"/>
      <c r="L10" s="2866"/>
    </row>
    <row r="11" spans="1:17" s="410" customFormat="1" ht="18" customHeight="1">
      <c r="A11" s="2652">
        <v>9</v>
      </c>
      <c r="B11" s="2645" t="s">
        <v>67</v>
      </c>
      <c r="C11" s="2644"/>
      <c r="D11" s="2865" t="s">
        <v>66</v>
      </c>
      <c r="E11" s="2865"/>
      <c r="F11" s="2865"/>
      <c r="G11" s="2865"/>
      <c r="H11" s="2865"/>
      <c r="I11" s="2865"/>
      <c r="J11" s="2865"/>
      <c r="K11" s="2865"/>
      <c r="L11" s="2866"/>
    </row>
    <row r="12" spans="1:17" s="410" customFormat="1" ht="18" customHeight="1" thickBot="1">
      <c r="A12" s="2653">
        <v>10</v>
      </c>
      <c r="B12" s="2654" t="s">
        <v>64</v>
      </c>
      <c r="C12" s="2655"/>
      <c r="D12" s="2863" t="s">
        <v>65</v>
      </c>
      <c r="E12" s="2863"/>
      <c r="F12" s="2863"/>
      <c r="G12" s="2863"/>
      <c r="H12" s="2863"/>
      <c r="I12" s="2863"/>
      <c r="J12" s="2863"/>
      <c r="K12" s="2863"/>
      <c r="L12" s="2864"/>
    </row>
    <row r="13" spans="1:17" s="410" customFormat="1" ht="18" customHeight="1">
      <c r="A13" s="527"/>
      <c r="B13" s="413"/>
      <c r="C13" s="412"/>
      <c r="D13" s="412"/>
      <c r="G13" s="953"/>
    </row>
    <row r="14" spans="1:17" s="410" customFormat="1" ht="18" customHeight="1">
      <c r="A14" s="527"/>
      <c r="B14" s="413"/>
      <c r="C14" s="412"/>
      <c r="D14" s="412"/>
      <c r="G14" s="953"/>
    </row>
    <row r="15" spans="1:17" s="410" customFormat="1" ht="18" customHeight="1">
      <c r="A15" s="527"/>
      <c r="B15" s="413"/>
      <c r="C15" s="412"/>
      <c r="D15" s="412"/>
      <c r="E15" s="412"/>
      <c r="G15" s="953"/>
    </row>
    <row r="16" spans="1:17" s="410" customFormat="1" ht="18" customHeight="1">
      <c r="A16" s="527"/>
      <c r="B16" s="413"/>
      <c r="C16" s="412"/>
      <c r="D16" s="412"/>
      <c r="E16" s="412"/>
      <c r="G16" s="953"/>
    </row>
    <row r="17" spans="1:7" s="410" customFormat="1" ht="18" customHeight="1">
      <c r="A17" s="527"/>
      <c r="B17" s="414"/>
      <c r="C17" s="412"/>
      <c r="D17" s="412"/>
      <c r="E17" s="412"/>
      <c r="G17" s="953"/>
    </row>
    <row r="18" spans="1:7" s="410" customFormat="1" ht="18" customHeight="1">
      <c r="A18" s="527"/>
      <c r="B18" s="2633"/>
      <c r="C18" s="412"/>
      <c r="D18" s="412"/>
      <c r="E18" s="2633"/>
      <c r="G18" s="953"/>
    </row>
    <row r="19" spans="1:7" s="410" customFormat="1" ht="18" customHeight="1">
      <c r="A19" s="527"/>
      <c r="B19" s="2633"/>
      <c r="C19" s="412"/>
      <c r="D19" s="412"/>
      <c r="E19" s="412"/>
      <c r="G19" s="953"/>
    </row>
    <row r="20" spans="1:7" s="410" customFormat="1" ht="18" customHeight="1">
      <c r="E20" s="953"/>
    </row>
    <row r="21" spans="1:7" s="410" customFormat="1" ht="18" customHeight="1">
      <c r="B21" s="2633"/>
      <c r="E21" s="953"/>
    </row>
    <row r="22" spans="1:7" s="410" customFormat="1" ht="18" customHeight="1">
      <c r="B22" s="2633"/>
      <c r="E22" s="953"/>
    </row>
    <row r="23" spans="1:7" s="410" customFormat="1" ht="21" customHeight="1">
      <c r="B23" s="2633"/>
      <c r="E23" s="953"/>
    </row>
    <row r="24" spans="1:7" s="410" customFormat="1" ht="18" customHeight="1">
      <c r="D24" s="2633"/>
      <c r="E24" s="2633"/>
      <c r="F24" s="2633"/>
    </row>
    <row r="25" spans="1:7" s="410" customFormat="1" ht="18" customHeight="1">
      <c r="B25" s="414"/>
      <c r="C25" s="412"/>
      <c r="E25" s="953"/>
    </row>
    <row r="26" spans="1:7" s="410" customFormat="1" ht="18" customHeight="1">
      <c r="C26" s="412"/>
      <c r="E26" s="412"/>
      <c r="G26" s="953"/>
    </row>
  </sheetData>
  <mergeCells count="11">
    <mergeCell ref="A2:L2"/>
    <mergeCell ref="D3:L3"/>
    <mergeCell ref="D4:L4"/>
    <mergeCell ref="D5:L5"/>
    <mergeCell ref="D6:L6"/>
    <mergeCell ref="D12:L12"/>
    <mergeCell ref="D7:L7"/>
    <mergeCell ref="D8:L8"/>
    <mergeCell ref="D9:L9"/>
    <mergeCell ref="D10:L10"/>
    <mergeCell ref="D11:L11"/>
  </mergeCells>
  <phoneticPr fontId="184" type="noConversion"/>
  <hyperlinks>
    <hyperlink ref="B3" location="About!A1" display="About"/>
    <hyperlink ref="B4" location="'LUC%20(EnVer)'!A1" display="LUC (EnVer)"/>
    <hyperlink ref="B5" location="'Esca%20(EnVer)'!A1" display="Esca (EnVer)"/>
    <hyperlink ref="B6" location="'N2O%20emissions%20IPCC%20'!A1" display="N2O emissions IPCC "/>
    <hyperlink ref="B7" location="'N2O%20emissions%20Example%201'!A1" display="N2O emissions Example 1"/>
    <hyperlink ref="B8" location="'E-Sb'!A1" display="E-Sb"/>
    <hyperlink ref="B9" location="'Example%201'!A1" display="Example 1"/>
    <hyperlink ref="B10" location="'E-Wt%20(not.spec.)'!A1" display="E-Wt"/>
    <hyperlink ref="B11" location="'E-Co'!A1" display="E-Co"/>
    <hyperlink ref="B12" location="'F-%D0%A0%D0%BA'!A1" display="F-Рк"/>
  </hyperlinks>
  <pageMargins left="0.74803149606299213" right="0.74803149606299213" top="0.47244094488188981" bottom="0.9055118110236221" header="0.51181102362204722" footer="0.62992125984251968"/>
  <headerFooter alignWithMargins="0">
    <oddFooter>&amp;L&amp;8&amp;F&amp;C&amp;8&amp;A&amp;R&amp;8page&amp;P</oddFooter>
  </headerFooter>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sheetPr codeName="Лист2"/>
  <dimension ref="A1:AE96"/>
  <sheetViews>
    <sheetView zoomScaleNormal="100" zoomScalePageLayoutView="90" workbookViewId="0">
      <selection activeCell="L71" sqref="L71"/>
    </sheetView>
  </sheetViews>
  <sheetFormatPr defaultColWidth="8.85546875" defaultRowHeight="15"/>
  <cols>
    <col min="1" max="1" width="2" style="1552" customWidth="1"/>
    <col min="2" max="2" width="24.42578125" style="1552" customWidth="1"/>
    <col min="3" max="3" width="17.140625" style="1552" customWidth="1"/>
    <col min="4" max="6" width="11.42578125" style="1552" customWidth="1"/>
    <col min="7" max="7" width="7.42578125" style="1552" customWidth="1"/>
    <col min="8" max="10" width="11.42578125" style="1552" customWidth="1"/>
    <col min="11" max="11" width="5.7109375" style="1552" customWidth="1"/>
    <col min="12" max="12" width="90" style="1552" customWidth="1"/>
    <col min="13" max="13" width="5.140625" style="1557" customWidth="1"/>
    <col min="14" max="14" width="8.85546875" style="1556"/>
    <col min="15" max="15" width="4.42578125" style="1555" customWidth="1"/>
    <col min="16" max="16" width="6.140625" style="1555" customWidth="1"/>
    <col min="17" max="17" width="3.42578125" style="1555" customWidth="1"/>
    <col min="18" max="18" width="6.7109375" style="1555" customWidth="1"/>
    <col min="19" max="19" width="2.28515625" style="1554" customWidth="1"/>
    <col min="20" max="20" width="14.140625" style="1554" customWidth="1"/>
    <col min="21" max="21" width="3.7109375" style="1554" customWidth="1"/>
    <col min="22" max="22" width="9.42578125" style="1554" customWidth="1"/>
    <col min="23" max="23" width="3.28515625" style="1554" customWidth="1"/>
    <col min="24" max="24" width="8.85546875" style="1553"/>
    <col min="25" max="25" width="2.42578125" style="1553" customWidth="1"/>
    <col min="26" max="26" width="7.85546875" style="1553" customWidth="1"/>
    <col min="27" max="27" width="2.42578125" style="1554" customWidth="1"/>
    <col min="28" max="28" width="8.85546875" style="1553"/>
    <col min="29" max="29" width="2.28515625" style="1553" customWidth="1"/>
    <col min="30" max="30" width="8.28515625" style="1553" customWidth="1"/>
    <col min="31" max="31" width="36" style="1553" customWidth="1"/>
    <col min="32" max="16384" width="8.85546875" style="1552"/>
  </cols>
  <sheetData>
    <row r="1" spans="1:31" ht="110.1" customHeight="1" thickBot="1">
      <c r="A1" s="1633"/>
      <c r="B1" s="1632"/>
      <c r="C1" s="1632"/>
      <c r="D1" s="1632"/>
      <c r="E1" s="1632"/>
      <c r="F1" s="1632"/>
      <c r="G1" s="1632"/>
      <c r="H1" s="1632"/>
      <c r="I1" s="1632"/>
      <c r="J1" s="1632"/>
      <c r="K1" s="1632"/>
      <c r="L1" s="1631"/>
    </row>
    <row r="2" spans="1:31" ht="26.25" customHeight="1" thickBot="1">
      <c r="A2" s="2941" t="s">
        <v>1602</v>
      </c>
      <c r="B2" s="2942"/>
      <c r="C2" s="2942"/>
      <c r="D2" s="2942"/>
      <c r="E2" s="2942"/>
      <c r="F2" s="2942"/>
      <c r="G2" s="2942"/>
      <c r="H2" s="2942"/>
      <c r="I2" s="2942"/>
      <c r="J2" s="2942"/>
      <c r="K2" s="2942"/>
      <c r="L2" s="2943"/>
      <c r="Q2" s="1630"/>
      <c r="R2" s="1630"/>
      <c r="S2" s="1629"/>
      <c r="T2" s="1629"/>
      <c r="U2" s="1629"/>
      <c r="V2" s="1629"/>
      <c r="W2" s="1629"/>
      <c r="X2" s="1628"/>
      <c r="Y2" s="1628"/>
      <c r="Z2" s="1628"/>
      <c r="AA2" s="1629"/>
      <c r="AB2" s="1628"/>
      <c r="AC2" s="1628"/>
      <c r="AD2" s="1628"/>
      <c r="AE2" s="1628"/>
    </row>
    <row r="3" spans="1:31">
      <c r="A3" s="1565"/>
      <c r="B3" s="1623"/>
      <c r="C3" s="1623"/>
      <c r="D3" s="1623"/>
      <c r="E3" s="1623"/>
      <c r="F3" s="1623"/>
      <c r="G3" s="1623"/>
      <c r="H3" s="1623"/>
      <c r="I3" s="1623"/>
      <c r="J3" s="1623"/>
      <c r="K3" s="1623"/>
      <c r="L3" s="1622"/>
    </row>
    <row r="4" spans="1:31" ht="15.75">
      <c r="A4" s="1565"/>
      <c r="B4" s="2888" t="s">
        <v>400</v>
      </c>
      <c r="C4" s="2888"/>
      <c r="D4" s="2888"/>
      <c r="E4" s="2888"/>
      <c r="F4" s="2888"/>
      <c r="G4" s="2888"/>
      <c r="H4" s="2888"/>
      <c r="I4" s="2888"/>
      <c r="J4" s="2888"/>
      <c r="K4" s="2888"/>
      <c r="L4" s="2889"/>
    </row>
    <row r="5" spans="1:31">
      <c r="A5" s="1565"/>
      <c r="B5" s="2888" t="s">
        <v>1607</v>
      </c>
      <c r="C5" s="2888"/>
      <c r="D5" s="2888"/>
      <c r="E5" s="2888"/>
      <c r="F5" s="1627" t="s">
        <v>913</v>
      </c>
      <c r="G5" s="1626"/>
      <c r="H5" s="1626"/>
      <c r="I5" s="1626"/>
      <c r="J5" s="1626"/>
      <c r="K5" s="1626"/>
      <c r="L5" s="1625"/>
    </row>
    <row r="6" spans="1:31">
      <c r="A6" s="1565"/>
      <c r="B6" s="2920" t="s">
        <v>399</v>
      </c>
      <c r="C6" s="2920"/>
      <c r="D6" s="2920"/>
      <c r="E6" s="2920"/>
      <c r="F6" s="2920"/>
      <c r="G6" s="2920"/>
      <c r="H6" s="2920"/>
      <c r="I6" s="2920"/>
      <c r="J6" s="2920"/>
      <c r="K6" s="2920"/>
      <c r="L6" s="2944"/>
    </row>
    <row r="7" spans="1:31">
      <c r="A7" s="1565"/>
      <c r="B7" s="1623"/>
      <c r="C7" s="1623"/>
      <c r="D7" s="1623"/>
      <c r="E7" s="1623"/>
      <c r="F7" s="1623"/>
      <c r="G7" s="1623"/>
      <c r="H7" s="1623"/>
      <c r="I7" s="1623"/>
      <c r="J7" s="1623"/>
      <c r="K7" s="1623"/>
      <c r="L7" s="1622"/>
    </row>
    <row r="8" spans="1:31" ht="15.75" thickBot="1">
      <c r="A8" s="1565"/>
      <c r="B8" s="1624" t="s">
        <v>398</v>
      </c>
      <c r="C8" s="1623"/>
      <c r="D8" s="1623"/>
      <c r="E8" s="1623"/>
      <c r="F8" s="1623"/>
      <c r="G8" s="1623"/>
      <c r="H8" s="1623"/>
      <c r="I8" s="1623"/>
      <c r="J8" s="1623"/>
      <c r="K8" s="1623"/>
      <c r="L8" s="1622"/>
    </row>
    <row r="9" spans="1:31" ht="15.75">
      <c r="A9" s="1565"/>
      <c r="B9" s="1621" t="s">
        <v>397</v>
      </c>
      <c r="C9" s="1620" t="s">
        <v>948</v>
      </c>
      <c r="D9" s="2945" t="s">
        <v>1608</v>
      </c>
      <c r="E9" s="2945"/>
      <c r="F9" s="2945"/>
      <c r="G9" s="2945"/>
      <c r="H9" s="2945"/>
      <c r="I9" s="2945"/>
      <c r="J9" s="2945"/>
      <c r="K9" s="2945"/>
      <c r="L9" s="2946"/>
      <c r="S9" s="1555"/>
      <c r="T9" s="1555"/>
      <c r="U9" s="1555"/>
      <c r="V9" s="1555"/>
      <c r="W9" s="1555"/>
      <c r="X9" s="1558"/>
      <c r="Y9" s="1558"/>
      <c r="Z9" s="1558"/>
      <c r="AA9" s="1555"/>
      <c r="AB9" s="1558"/>
      <c r="AC9" s="1558"/>
      <c r="AD9" s="1558"/>
      <c r="AE9" s="1558"/>
    </row>
    <row r="10" spans="1:31" ht="15.75">
      <c r="A10" s="1565"/>
      <c r="B10" s="1619" t="s">
        <v>416</v>
      </c>
      <c r="C10" s="1616" t="s">
        <v>948</v>
      </c>
      <c r="D10" s="2929" t="s">
        <v>1609</v>
      </c>
      <c r="E10" s="2929"/>
      <c r="F10" s="2929"/>
      <c r="G10" s="2929"/>
      <c r="H10" s="2929"/>
      <c r="I10" s="2929"/>
      <c r="J10" s="2929"/>
      <c r="K10" s="2929"/>
      <c r="L10" s="2930"/>
      <c r="S10" s="1555"/>
      <c r="T10" s="1555"/>
      <c r="U10" s="1555"/>
      <c r="V10" s="1555"/>
      <c r="W10" s="1555"/>
      <c r="X10" s="1558"/>
      <c r="Y10" s="1558"/>
      <c r="Z10" s="1558"/>
      <c r="AA10" s="1555"/>
      <c r="AB10" s="1558"/>
      <c r="AC10" s="1558"/>
      <c r="AD10" s="1558"/>
      <c r="AE10" s="1558"/>
    </row>
    <row r="11" spans="1:31" ht="15.6" customHeight="1">
      <c r="A11" s="1565"/>
      <c r="B11" s="1619"/>
      <c r="C11" s="1616"/>
      <c r="D11" s="2931" t="s">
        <v>1512</v>
      </c>
      <c r="E11" s="2931"/>
      <c r="F11" s="2931"/>
      <c r="G11" s="2931"/>
      <c r="H11" s="2931"/>
      <c r="I11" s="2931"/>
      <c r="J11" s="2931"/>
      <c r="K11" s="2931"/>
      <c r="L11" s="2932"/>
      <c r="M11" s="1558"/>
      <c r="N11" s="1558"/>
      <c r="O11" s="1558"/>
      <c r="P11" s="1558"/>
      <c r="Q11" s="1558"/>
      <c r="R11" s="1558"/>
      <c r="S11" s="1558"/>
      <c r="T11" s="1558"/>
      <c r="U11" s="1558"/>
      <c r="V11" s="1558"/>
      <c r="W11" s="1558"/>
      <c r="X11" s="1558"/>
      <c r="Y11" s="1558"/>
      <c r="Z11" s="1558"/>
      <c r="AA11" s="1555"/>
      <c r="AB11" s="1558"/>
      <c r="AC11" s="1558"/>
      <c r="AD11" s="1558"/>
      <c r="AE11" s="1558"/>
    </row>
    <row r="12" spans="1:31">
      <c r="A12" s="1565"/>
      <c r="B12" s="1619"/>
      <c r="C12" s="1616"/>
      <c r="D12" s="2931"/>
      <c r="E12" s="2931"/>
      <c r="F12" s="2931"/>
      <c r="G12" s="2931"/>
      <c r="H12" s="2931"/>
      <c r="I12" s="2931"/>
      <c r="J12" s="2931"/>
      <c r="K12" s="2931"/>
      <c r="L12" s="2932"/>
      <c r="M12" s="1558"/>
      <c r="N12" s="1558"/>
      <c r="O12" s="1558"/>
      <c r="P12" s="1558"/>
      <c r="Q12" s="1558"/>
      <c r="R12" s="1558"/>
      <c r="S12" s="1558"/>
      <c r="T12" s="1558"/>
      <c r="U12" s="1558"/>
      <c r="V12" s="1558"/>
      <c r="W12" s="1558"/>
      <c r="X12" s="1558"/>
      <c r="Y12" s="1558"/>
      <c r="Z12" s="1558"/>
      <c r="AA12" s="1555"/>
      <c r="AB12" s="1558"/>
      <c r="AC12" s="1558"/>
      <c r="AD12" s="1558"/>
      <c r="AE12" s="1558"/>
    </row>
    <row r="13" spans="1:31" ht="15.75">
      <c r="A13" s="1565"/>
      <c r="B13" s="1617" t="s">
        <v>998</v>
      </c>
      <c r="C13" s="1616" t="s">
        <v>952</v>
      </c>
      <c r="D13" s="2929" t="s">
        <v>1610</v>
      </c>
      <c r="E13" s="2929"/>
      <c r="F13" s="2929"/>
      <c r="G13" s="2929"/>
      <c r="H13" s="2929"/>
      <c r="I13" s="2929"/>
      <c r="J13" s="2929"/>
      <c r="K13" s="2929"/>
      <c r="L13" s="2930"/>
      <c r="M13" s="1558"/>
      <c r="N13" s="1558"/>
      <c r="O13" s="1558"/>
      <c r="P13" s="1558"/>
      <c r="Q13" s="1558"/>
      <c r="R13" s="1558"/>
      <c r="S13" s="1558"/>
      <c r="T13" s="1558"/>
      <c r="U13" s="1558"/>
      <c r="V13" s="1558"/>
      <c r="W13" s="1558"/>
      <c r="X13" s="1558"/>
      <c r="Y13" s="1558"/>
      <c r="Z13" s="1558"/>
      <c r="AA13" s="1555"/>
      <c r="AB13" s="1558"/>
      <c r="AC13" s="1558"/>
      <c r="AD13" s="1558"/>
      <c r="AE13" s="1558"/>
    </row>
    <row r="14" spans="1:31" ht="27" customHeight="1">
      <c r="A14" s="1565"/>
      <c r="B14" s="1618" t="s">
        <v>446</v>
      </c>
      <c r="C14" s="1616" t="s">
        <v>952</v>
      </c>
      <c r="D14" s="2931" t="s">
        <v>1513</v>
      </c>
      <c r="E14" s="2931"/>
      <c r="F14" s="2931"/>
      <c r="G14" s="2931"/>
      <c r="H14" s="2931"/>
      <c r="I14" s="2931"/>
      <c r="J14" s="2931"/>
      <c r="K14" s="2931"/>
      <c r="L14" s="2932"/>
      <c r="S14" s="1555"/>
      <c r="T14" s="1555"/>
      <c r="U14" s="1555"/>
      <c r="V14" s="1555"/>
      <c r="W14" s="1555"/>
      <c r="X14" s="1558"/>
      <c r="Y14" s="1558"/>
      <c r="Z14" s="1558"/>
      <c r="AA14" s="1555"/>
      <c r="AB14" s="1558"/>
      <c r="AC14" s="1558"/>
      <c r="AD14" s="1558"/>
      <c r="AE14" s="1558"/>
    </row>
    <row r="15" spans="1:31" ht="15.75">
      <c r="A15" s="1565"/>
      <c r="B15" s="1617" t="s">
        <v>921</v>
      </c>
      <c r="C15" s="1616" t="s">
        <v>952</v>
      </c>
      <c r="D15" s="2929" t="s">
        <v>1611</v>
      </c>
      <c r="E15" s="2929"/>
      <c r="F15" s="2929"/>
      <c r="G15" s="2929"/>
      <c r="H15" s="2929"/>
      <c r="I15" s="2929"/>
      <c r="J15" s="2929"/>
      <c r="K15" s="2929"/>
      <c r="L15" s="2930"/>
      <c r="S15" s="1555"/>
      <c r="T15" s="1555"/>
      <c r="U15" s="1555"/>
      <c r="V15" s="1555"/>
      <c r="W15" s="1555"/>
      <c r="X15" s="1558"/>
      <c r="Y15" s="1558"/>
      <c r="Z15" s="1558"/>
      <c r="AA15" s="1555"/>
      <c r="AB15" s="1558"/>
      <c r="AC15" s="1558"/>
      <c r="AD15" s="1558"/>
      <c r="AE15" s="1558"/>
    </row>
    <row r="16" spans="1:31" ht="15.75">
      <c r="A16" s="1565"/>
      <c r="B16" s="1617" t="s">
        <v>927</v>
      </c>
      <c r="C16" s="1616" t="s">
        <v>952</v>
      </c>
      <c r="D16" s="2929" t="s">
        <v>1613</v>
      </c>
      <c r="E16" s="2929"/>
      <c r="F16" s="2929"/>
      <c r="G16" s="2929"/>
      <c r="H16" s="2929"/>
      <c r="I16" s="2929"/>
      <c r="J16" s="2929"/>
      <c r="K16" s="2929"/>
      <c r="L16" s="2930"/>
      <c r="S16" s="1555"/>
      <c r="T16" s="1555"/>
      <c r="U16" s="1555"/>
      <c r="V16" s="1555"/>
      <c r="W16" s="1555"/>
      <c r="X16" s="1558"/>
      <c r="Y16" s="1558"/>
      <c r="Z16" s="1558"/>
      <c r="AA16" s="1555"/>
      <c r="AB16" s="1558"/>
      <c r="AC16" s="1558"/>
      <c r="AD16" s="1558"/>
      <c r="AE16" s="1558"/>
    </row>
    <row r="17" spans="1:31" ht="25.5" customHeight="1">
      <c r="A17" s="1565"/>
      <c r="B17" s="1617" t="s">
        <v>928</v>
      </c>
      <c r="C17" s="1616" t="s">
        <v>952</v>
      </c>
      <c r="D17" s="2931" t="s">
        <v>1612</v>
      </c>
      <c r="E17" s="2931"/>
      <c r="F17" s="2931"/>
      <c r="G17" s="2931"/>
      <c r="H17" s="2931"/>
      <c r="I17" s="2931"/>
      <c r="J17" s="2931"/>
      <c r="K17" s="2931"/>
      <c r="L17" s="2932"/>
      <c r="S17" s="1555"/>
      <c r="T17" s="1555"/>
      <c r="U17" s="1555"/>
      <c r="V17" s="1555"/>
      <c r="W17" s="1555"/>
      <c r="X17" s="1558"/>
      <c r="Y17" s="1558"/>
      <c r="Z17" s="1558"/>
      <c r="AA17" s="1555"/>
      <c r="AB17" s="1558"/>
      <c r="AC17" s="1558"/>
      <c r="AD17" s="1558"/>
      <c r="AE17" s="1558"/>
    </row>
    <row r="18" spans="1:31" ht="30" customHeight="1" thickBot="1">
      <c r="A18" s="1565"/>
      <c r="B18" s="1615" t="s">
        <v>905</v>
      </c>
      <c r="C18" s="1614" t="s">
        <v>952</v>
      </c>
      <c r="D18" s="2938" t="s">
        <v>1614</v>
      </c>
      <c r="E18" s="2939"/>
      <c r="F18" s="2939"/>
      <c r="G18" s="2939"/>
      <c r="H18" s="2939"/>
      <c r="I18" s="2939"/>
      <c r="J18" s="2939"/>
      <c r="K18" s="2939"/>
      <c r="L18" s="2940"/>
    </row>
    <row r="19" spans="1:31" ht="15.75" thickBot="1">
      <c r="A19" s="1565"/>
      <c r="B19" s="1613"/>
      <c r="C19" s="1612"/>
      <c r="D19" s="1563"/>
      <c r="E19" s="1563"/>
      <c r="F19" s="1563"/>
      <c r="G19" s="1563"/>
      <c r="H19" s="1563"/>
      <c r="I19" s="1563"/>
      <c r="J19" s="1563"/>
      <c r="K19" s="1563"/>
      <c r="L19" s="1563"/>
    </row>
    <row r="20" spans="1:31" ht="15.75" thickBot="1">
      <c r="A20" s="1604"/>
      <c r="B20" s="1611" t="s">
        <v>1615</v>
      </c>
      <c r="C20" s="1610"/>
      <c r="D20" s="1610"/>
      <c r="E20" s="1610"/>
      <c r="F20" s="1610"/>
      <c r="G20" s="1610"/>
      <c r="H20" s="1610"/>
      <c r="I20" s="1610"/>
      <c r="J20" s="1610"/>
      <c r="K20" s="1610"/>
      <c r="L20" s="1609"/>
      <c r="M20" s="1558"/>
    </row>
    <row r="21" spans="1:31" ht="34.35" customHeight="1">
      <c r="A21" s="1604"/>
      <c r="B21" s="1608"/>
      <c r="C21" s="1607"/>
      <c r="D21" s="1607"/>
      <c r="E21" s="1607"/>
      <c r="F21" s="1607"/>
      <c r="G21" s="1606"/>
      <c r="H21" s="1606"/>
      <c r="I21" s="2936" t="s">
        <v>1617</v>
      </c>
      <c r="J21" s="2936"/>
      <c r="K21" s="2936"/>
      <c r="L21" s="2659" t="s">
        <v>1516</v>
      </c>
      <c r="M21" s="1558"/>
    </row>
    <row r="22" spans="1:31" ht="42" customHeight="1">
      <c r="A22" s="1565"/>
      <c r="B22" s="2934" t="s">
        <v>1514</v>
      </c>
      <c r="C22" s="2935"/>
      <c r="D22" s="2935"/>
      <c r="E22" s="2636" t="s">
        <v>1616</v>
      </c>
      <c r="F22" s="1563"/>
      <c r="G22" s="1569"/>
      <c r="H22" s="1569"/>
      <c r="I22" s="2937" t="s">
        <v>1618</v>
      </c>
      <c r="J22" s="2937"/>
      <c r="K22" s="2937"/>
      <c r="L22" s="2660" t="s">
        <v>1517</v>
      </c>
    </row>
    <row r="23" spans="1:31" ht="33.6" customHeight="1" thickBot="1">
      <c r="A23" s="1565"/>
      <c r="B23" s="1605"/>
      <c r="C23" s="1560"/>
      <c r="D23" s="1560"/>
      <c r="E23" s="1560"/>
      <c r="F23" s="1560"/>
      <c r="G23" s="1560"/>
      <c r="H23" s="1560"/>
      <c r="I23" s="2933" t="s">
        <v>1515</v>
      </c>
      <c r="J23" s="2933"/>
      <c r="K23" s="2933"/>
      <c r="L23" s="2661" t="s">
        <v>1518</v>
      </c>
    </row>
    <row r="24" spans="1:31">
      <c r="A24" s="1565"/>
      <c r="B24" s="2878" t="s">
        <v>1519</v>
      </c>
      <c r="C24" s="2879"/>
      <c r="D24" s="2879"/>
      <c r="E24" s="2879"/>
      <c r="F24" s="2879"/>
      <c r="G24" s="2879"/>
      <c r="H24" s="2879"/>
      <c r="I24" s="2879"/>
      <c r="J24" s="2879"/>
      <c r="K24" s="2879"/>
      <c r="L24" s="2880"/>
    </row>
    <row r="25" spans="1:31" ht="13.5" customHeight="1">
      <c r="A25" s="1565"/>
      <c r="B25" s="2881" t="s">
        <v>1520</v>
      </c>
      <c r="C25" s="2882"/>
      <c r="D25" s="2882"/>
      <c r="E25" s="2882"/>
      <c r="F25" s="2882"/>
      <c r="G25" s="2882"/>
      <c r="H25" s="2882"/>
      <c r="I25" s="2882"/>
      <c r="J25" s="2882"/>
      <c r="K25" s="2882"/>
      <c r="L25" s="2883"/>
    </row>
    <row r="26" spans="1:31" ht="14.25" customHeight="1">
      <c r="A26" s="1565"/>
      <c r="B26" s="2888" t="s">
        <v>415</v>
      </c>
      <c r="C26" s="2888"/>
      <c r="D26" s="2888"/>
      <c r="E26" s="2888"/>
      <c r="F26" s="2888"/>
      <c r="G26" s="2888"/>
      <c r="H26" s="2888"/>
      <c r="I26" s="2888"/>
      <c r="J26" s="2888"/>
      <c r="K26" s="2888"/>
      <c r="L26" s="2889"/>
    </row>
    <row r="27" spans="1:31">
      <c r="A27" s="1565"/>
      <c r="B27" s="2888" t="s">
        <v>1619</v>
      </c>
      <c r="C27" s="2888"/>
      <c r="D27" s="2888"/>
      <c r="E27" s="2888"/>
      <c r="F27" s="2888"/>
      <c r="G27" s="2888"/>
      <c r="H27" s="2888"/>
      <c r="I27" s="2888"/>
      <c r="J27" s="2888"/>
      <c r="K27" s="2888"/>
      <c r="L27" s="2889"/>
    </row>
    <row r="28" spans="1:31" ht="15.75" thickBot="1">
      <c r="A28" s="1565"/>
      <c r="B28" s="1563"/>
      <c r="C28" s="1563"/>
      <c r="D28" s="1563"/>
      <c r="E28" s="1563"/>
      <c r="F28" s="1563"/>
      <c r="G28" s="1563"/>
      <c r="H28" s="1563"/>
      <c r="I28" s="1563"/>
      <c r="J28" s="1563"/>
      <c r="K28" s="1563"/>
      <c r="L28" s="1562"/>
    </row>
    <row r="29" spans="1:31" ht="16.5" thickBot="1">
      <c r="A29" s="1565"/>
      <c r="B29" s="2890" t="s">
        <v>414</v>
      </c>
      <c r="C29" s="2890"/>
      <c r="D29" s="2890"/>
      <c r="E29" s="2890"/>
      <c r="F29" s="2890"/>
      <c r="G29" s="2894" t="s">
        <v>413</v>
      </c>
      <c r="H29" s="2895"/>
      <c r="I29" s="2896"/>
      <c r="J29" s="1563"/>
      <c r="K29" s="1563"/>
      <c r="L29" s="1562"/>
    </row>
    <row r="30" spans="1:31">
      <c r="A30" s="1565"/>
      <c r="B30" s="1563"/>
      <c r="C30" s="1563"/>
      <c r="D30" s="1563"/>
      <c r="E30" s="1563"/>
      <c r="F30" s="1563"/>
      <c r="G30" s="1563"/>
      <c r="H30" s="1563"/>
      <c r="I30" s="1563"/>
      <c r="J30" s="1563"/>
      <c r="K30" s="1563"/>
      <c r="L30" s="1562"/>
    </row>
    <row r="31" spans="1:31">
      <c r="A31" s="1604"/>
      <c r="B31" s="2891" t="s">
        <v>412</v>
      </c>
      <c r="C31" s="2892"/>
      <c r="D31" s="2893"/>
      <c r="E31" s="2876"/>
      <c r="F31" s="2877"/>
      <c r="G31" s="2897" t="s">
        <v>1620</v>
      </c>
      <c r="H31" s="2898"/>
      <c r="I31" s="2898"/>
      <c r="J31" s="2898"/>
      <c r="K31" s="2898"/>
      <c r="L31" s="2899"/>
      <c r="M31" s="1558"/>
      <c r="N31" s="1558"/>
      <c r="O31" s="1558"/>
      <c r="P31" s="1558"/>
      <c r="Q31" s="1558"/>
      <c r="R31" s="1558"/>
      <c r="S31" s="1558"/>
      <c r="T31" s="1558"/>
      <c r="U31" s="1558"/>
      <c r="V31" s="1558"/>
      <c r="W31" s="1558"/>
      <c r="X31" s="1558"/>
      <c r="Y31" s="1558"/>
      <c r="Z31" s="1558"/>
      <c r="AA31" s="1558"/>
      <c r="AB31" s="1558"/>
      <c r="AC31" s="1558"/>
      <c r="AD31" s="1558"/>
      <c r="AE31" s="1558"/>
    </row>
    <row r="32" spans="1:31">
      <c r="A32" s="1604"/>
      <c r="B32" s="1569"/>
      <c r="C32" s="1563"/>
      <c r="D32" s="1569"/>
      <c r="E32" s="1569"/>
      <c r="F32" s="1569"/>
      <c r="G32" s="1569"/>
      <c r="H32" s="1569"/>
      <c r="I32" s="1569"/>
      <c r="J32" s="1563"/>
      <c r="K32" s="1563"/>
      <c r="L32" s="1573"/>
      <c r="M32" s="1558"/>
      <c r="N32" s="1558"/>
      <c r="O32" s="1558"/>
      <c r="P32" s="1558"/>
      <c r="Q32" s="1558"/>
      <c r="R32" s="1558"/>
      <c r="S32" s="1558"/>
      <c r="T32" s="1558"/>
      <c r="U32" s="1558"/>
      <c r="V32" s="1558"/>
      <c r="W32" s="1558"/>
      <c r="X32" s="1558"/>
      <c r="Y32" s="1558"/>
      <c r="Z32" s="1558"/>
      <c r="AA32" s="1558"/>
      <c r="AB32" s="1558"/>
      <c r="AC32" s="1558"/>
      <c r="AD32" s="1558"/>
      <c r="AE32" s="1558"/>
    </row>
    <row r="33" spans="1:31">
      <c r="A33" s="1565"/>
      <c r="B33" s="1570"/>
      <c r="C33" s="1563"/>
      <c r="D33" s="2887" t="s">
        <v>447</v>
      </c>
      <c r="E33" s="2887"/>
      <c r="F33" s="2887"/>
      <c r="G33" s="1563"/>
      <c r="H33" s="2887" t="s">
        <v>446</v>
      </c>
      <c r="I33" s="2887"/>
      <c r="J33" s="2887"/>
      <c r="K33" s="1563"/>
      <c r="L33" s="1562"/>
    </row>
    <row r="34" spans="1:31" ht="15.75" thickBot="1">
      <c r="A34" s="1565"/>
      <c r="B34" s="1602"/>
      <c r="C34" s="1601"/>
      <c r="D34" s="1563"/>
      <c r="E34" s="1563"/>
      <c r="F34" s="1563"/>
      <c r="G34" s="1563"/>
      <c r="H34" s="1563"/>
      <c r="I34" s="1563"/>
      <c r="J34" s="1563"/>
      <c r="K34" s="1563"/>
      <c r="L34" s="1562"/>
    </row>
    <row r="35" spans="1:31" ht="15.75" thickBot="1">
      <c r="A35" s="1565"/>
      <c r="B35" s="2870" t="s">
        <v>432</v>
      </c>
      <c r="C35" s="2871"/>
      <c r="D35" s="2875" t="s">
        <v>445</v>
      </c>
      <c r="E35" s="2876"/>
      <c r="F35" s="2877"/>
      <c r="G35" s="1563"/>
      <c r="H35" s="2875" t="str">
        <f>D35</f>
        <v>Теплий помірно-вологий</v>
      </c>
      <c r="I35" s="2876"/>
      <c r="J35" s="2877"/>
      <c r="K35" s="1563"/>
      <c r="L35" s="1562"/>
      <c r="N35" s="2900" t="s">
        <v>1628</v>
      </c>
      <c r="O35" s="2901"/>
      <c r="P35" s="2901"/>
      <c r="Q35" s="2901"/>
      <c r="R35" s="2901"/>
      <c r="S35" s="2901"/>
      <c r="T35" s="2901"/>
      <c r="U35" s="2901"/>
      <c r="V35" s="2901"/>
      <c r="W35" s="2901"/>
      <c r="X35" s="2901"/>
      <c r="Y35" s="2901"/>
      <c r="Z35" s="2901"/>
      <c r="AA35" s="2901"/>
      <c r="AB35" s="2901"/>
      <c r="AC35" s="2901"/>
      <c r="AD35" s="2901"/>
      <c r="AE35" s="2902"/>
    </row>
    <row r="36" spans="1:31">
      <c r="A36" s="1565"/>
      <c r="B36" s="2870" t="s">
        <v>444</v>
      </c>
      <c r="C36" s="2871"/>
      <c r="D36" s="2875" t="s">
        <v>443</v>
      </c>
      <c r="E36" s="2876"/>
      <c r="F36" s="2877"/>
      <c r="G36" s="1563"/>
      <c r="H36" s="2947" t="s">
        <v>442</v>
      </c>
      <c r="I36" s="2948"/>
      <c r="J36" s="2949"/>
      <c r="K36" s="1563"/>
      <c r="L36" s="1562"/>
      <c r="N36" s="2884" t="s">
        <v>441</v>
      </c>
      <c r="O36" s="2885"/>
      <c r="P36" s="2885"/>
      <c r="Q36" s="2885"/>
      <c r="R36" s="2885"/>
      <c r="S36" s="2885"/>
      <c r="T36" s="2885"/>
      <c r="U36" s="2885"/>
      <c r="V36" s="2885"/>
      <c r="W36" s="2885"/>
      <c r="X36" s="2885"/>
      <c r="Y36" s="2885"/>
      <c r="Z36" s="2885"/>
      <c r="AA36" s="2885"/>
      <c r="AB36" s="2885"/>
      <c r="AC36" s="2885"/>
      <c r="AD36" s="2885"/>
      <c r="AE36" s="2886"/>
    </row>
    <row r="37" spans="1:31">
      <c r="A37" s="1565"/>
      <c r="B37" s="1602"/>
      <c r="C37" s="1601"/>
      <c r="D37" s="1563"/>
      <c r="E37" s="1563"/>
      <c r="F37" s="1563"/>
      <c r="G37" s="1563"/>
      <c r="H37" s="1563"/>
      <c r="I37" s="1563"/>
      <c r="J37" s="1563"/>
      <c r="K37" s="1563"/>
      <c r="L37" s="1562"/>
      <c r="N37" s="1590" t="s">
        <v>440</v>
      </c>
      <c r="O37" s="1586"/>
      <c r="P37" s="1586"/>
      <c r="Q37" s="1586"/>
      <c r="R37" s="1586"/>
      <c r="S37" s="1586"/>
      <c r="T37" s="1586"/>
      <c r="U37" s="1586"/>
      <c r="V37" s="1586"/>
      <c r="W37" s="1589"/>
      <c r="X37" s="1586"/>
      <c r="Y37" s="1586"/>
      <c r="Z37" s="1586"/>
      <c r="AA37" s="1589"/>
      <c r="AB37" s="1586"/>
      <c r="AC37" s="1586"/>
      <c r="AD37" s="1586"/>
      <c r="AE37" s="1585"/>
    </row>
    <row r="38" spans="1:31" ht="15.75">
      <c r="A38" s="1565"/>
      <c r="B38" s="2891" t="s">
        <v>1621</v>
      </c>
      <c r="C38" s="2891"/>
      <c r="D38" s="1563"/>
      <c r="E38" s="1563"/>
      <c r="F38" s="1563"/>
      <c r="G38" s="1563"/>
      <c r="H38" s="1563"/>
      <c r="I38" s="1563"/>
      <c r="J38" s="1563"/>
      <c r="K38" s="1563"/>
      <c r="L38" s="1562"/>
      <c r="N38" s="1593" t="s">
        <v>1315</v>
      </c>
      <c r="O38" s="1586" t="s">
        <v>1391</v>
      </c>
      <c r="P38" s="2872" t="s">
        <v>1389</v>
      </c>
      <c r="Q38" s="2873"/>
      <c r="R38" s="2873"/>
      <c r="S38" s="2873"/>
      <c r="T38" s="2873"/>
      <c r="U38" s="2873"/>
      <c r="V38" s="2874"/>
      <c r="W38" s="1589" t="s">
        <v>1390</v>
      </c>
      <c r="X38" s="2872" t="s">
        <v>1395</v>
      </c>
      <c r="Y38" s="2873"/>
      <c r="Z38" s="2873"/>
      <c r="AA38" s="2873"/>
      <c r="AB38" s="2873"/>
      <c r="AC38" s="2873"/>
      <c r="AD38" s="2874"/>
      <c r="AE38" s="1585"/>
    </row>
    <row r="39" spans="1:31" ht="15.75">
      <c r="A39" s="1565"/>
      <c r="B39" s="2870" t="s">
        <v>439</v>
      </c>
      <c r="C39" s="2871"/>
      <c r="D39" s="2959" t="s">
        <v>1035</v>
      </c>
      <c r="E39" s="2876"/>
      <c r="F39" s="2877"/>
      <c r="G39" s="1563"/>
      <c r="H39" s="2875" t="s">
        <v>1521</v>
      </c>
      <c r="I39" s="2876"/>
      <c r="J39" s="2877"/>
      <c r="K39" s="1563"/>
      <c r="L39" s="1573" t="s">
        <v>438</v>
      </c>
      <c r="N39" s="1593" t="s">
        <v>1315</v>
      </c>
      <c r="O39" s="1586" t="s">
        <v>1391</v>
      </c>
      <c r="P39" s="2872" t="s">
        <v>1392</v>
      </c>
      <c r="Q39" s="2873"/>
      <c r="R39" s="2874"/>
      <c r="S39" s="1586" t="s">
        <v>1390</v>
      </c>
      <c r="T39" s="2872" t="s">
        <v>1398</v>
      </c>
      <c r="U39" s="2873"/>
      <c r="V39" s="2874"/>
      <c r="W39" s="1589" t="s">
        <v>1390</v>
      </c>
      <c r="X39" s="2872" t="s">
        <v>1397</v>
      </c>
      <c r="Y39" s="2873"/>
      <c r="Z39" s="2874"/>
      <c r="AA39" s="1589" t="s">
        <v>1390</v>
      </c>
      <c r="AB39" s="2872" t="s">
        <v>1314</v>
      </c>
      <c r="AC39" s="2873"/>
      <c r="AD39" s="2874"/>
      <c r="AE39" s="1585"/>
    </row>
    <row r="40" spans="1:31" ht="25.5">
      <c r="A40" s="1565"/>
      <c r="B40" s="2870" t="s">
        <v>437</v>
      </c>
      <c r="C40" s="2871"/>
      <c r="D40" s="2959" t="s">
        <v>1035</v>
      </c>
      <c r="E40" s="2876"/>
      <c r="F40" s="2877"/>
      <c r="G40" s="1563"/>
      <c r="H40" s="2875" t="s">
        <v>436</v>
      </c>
      <c r="I40" s="2876"/>
      <c r="J40" s="2877"/>
      <c r="K40" s="1563"/>
      <c r="L40" s="2662" t="s">
        <v>1525</v>
      </c>
      <c r="N40" s="1593" t="s">
        <v>1315</v>
      </c>
      <c r="O40" s="1586" t="s">
        <v>1391</v>
      </c>
      <c r="P40" s="1589" t="s">
        <v>1394</v>
      </c>
      <c r="Q40" s="1589" t="s">
        <v>1186</v>
      </c>
      <c r="R40" s="1589" t="s">
        <v>1393</v>
      </c>
      <c r="S40" s="1589" t="s">
        <v>1390</v>
      </c>
      <c r="T40" s="1600" t="s">
        <v>423</v>
      </c>
      <c r="U40" s="1589" t="s">
        <v>1186</v>
      </c>
      <c r="V40" s="1599" t="s">
        <v>422</v>
      </c>
      <c r="W40" s="1589" t="s">
        <v>1390</v>
      </c>
      <c r="X40" s="1589" t="s">
        <v>1396</v>
      </c>
      <c r="Y40" s="1589" t="s">
        <v>1186</v>
      </c>
      <c r="Z40" s="1589" t="s">
        <v>1399</v>
      </c>
      <c r="AA40" s="1589" t="s">
        <v>1390</v>
      </c>
      <c r="AB40" s="1589" t="s">
        <v>1400</v>
      </c>
      <c r="AC40" s="1589" t="s">
        <v>1186</v>
      </c>
      <c r="AD40" s="1589" t="s">
        <v>1313</v>
      </c>
      <c r="AE40" s="1585"/>
    </row>
    <row r="41" spans="1:31" ht="25.5">
      <c r="A41" s="1565"/>
      <c r="B41" s="1563"/>
      <c r="C41" s="1592" t="s">
        <v>998</v>
      </c>
      <c r="D41" s="1594">
        <v>0</v>
      </c>
      <c r="E41" s="2636" t="s">
        <v>10</v>
      </c>
      <c r="F41" s="1563"/>
      <c r="G41" s="1563"/>
      <c r="H41" s="1594">
        <v>84</v>
      </c>
      <c r="I41" s="2636" t="s">
        <v>10</v>
      </c>
      <c r="J41" s="1563"/>
      <c r="K41" s="1563"/>
      <c r="L41" s="2662" t="s">
        <v>1526</v>
      </c>
      <c r="N41" s="1593" t="s">
        <v>1315</v>
      </c>
      <c r="O41" s="1586" t="s">
        <v>1391</v>
      </c>
      <c r="P41" s="1597"/>
      <c r="Q41" s="1596"/>
      <c r="R41" s="1595">
        <v>0.47</v>
      </c>
      <c r="S41" s="1596"/>
      <c r="T41" s="1597"/>
      <c r="U41" s="1596"/>
      <c r="V41" s="1595">
        <v>0.47</v>
      </c>
      <c r="W41" s="1598"/>
      <c r="X41" s="1597"/>
      <c r="Y41" s="1596"/>
      <c r="Z41" s="1595">
        <v>0.5</v>
      </c>
      <c r="AA41" s="1598"/>
      <c r="AB41" s="1597"/>
      <c r="AC41" s="1596"/>
      <c r="AD41" s="1595">
        <v>0.4</v>
      </c>
      <c r="AE41" s="1603" t="s">
        <v>435</v>
      </c>
    </row>
    <row r="42" spans="1:31">
      <c r="A42" s="1565"/>
      <c r="B42" s="1602"/>
      <c r="C42" s="1601"/>
      <c r="D42" s="1563"/>
      <c r="E42" s="1563"/>
      <c r="F42" s="1563"/>
      <c r="G42" s="1563"/>
      <c r="H42" s="1563"/>
      <c r="I42" s="1563"/>
      <c r="J42" s="1563"/>
      <c r="K42" s="1563"/>
      <c r="L42" s="1562"/>
      <c r="N42" s="1593"/>
      <c r="O42" s="1586"/>
      <c r="P42" s="1586"/>
      <c r="Q42" s="1586"/>
      <c r="R42" s="1586"/>
      <c r="S42" s="1586"/>
      <c r="T42" s="1586"/>
      <c r="U42" s="1586"/>
      <c r="V42" s="1586"/>
      <c r="W42" s="1589"/>
      <c r="X42" s="1586"/>
      <c r="Y42" s="1586"/>
      <c r="Z42" s="1586"/>
      <c r="AA42" s="1589"/>
      <c r="AB42" s="1586"/>
      <c r="AC42" s="1586"/>
      <c r="AD42" s="1586"/>
      <c r="AE42" s="1585"/>
    </row>
    <row r="43" spans="1:31" ht="15.75">
      <c r="A43" s="1565"/>
      <c r="B43" s="2891" t="s">
        <v>1622</v>
      </c>
      <c r="C43" s="2891"/>
      <c r="D43" s="1563"/>
      <c r="E43" s="1563"/>
      <c r="F43" s="1563"/>
      <c r="G43" s="1563"/>
      <c r="H43" s="1563"/>
      <c r="I43" s="1563"/>
      <c r="J43" s="1563"/>
      <c r="K43" s="1563"/>
      <c r="L43" s="1562"/>
      <c r="N43" s="1593" t="s">
        <v>1315</v>
      </c>
      <c r="O43" s="1586" t="s">
        <v>1391</v>
      </c>
      <c r="P43" s="1586">
        <f>P41*R41+T41*V41+X41*Z41+AB41*AD41</f>
        <v>0</v>
      </c>
      <c r="Q43" s="1586"/>
      <c r="R43" s="1569" t="s">
        <v>434</v>
      </c>
      <c r="S43" s="1586"/>
      <c r="T43" s="1586"/>
      <c r="U43" s="2903" t="s">
        <v>433</v>
      </c>
      <c r="V43" s="2903"/>
      <c r="W43" s="2903"/>
      <c r="X43" s="2903"/>
      <c r="Y43" s="2903"/>
      <c r="Z43" s="2903"/>
      <c r="AA43" s="2903"/>
      <c r="AB43" s="2903"/>
      <c r="AC43" s="2903"/>
      <c r="AD43" s="2903"/>
      <c r="AE43" s="1585"/>
    </row>
    <row r="44" spans="1:31">
      <c r="A44" s="1565"/>
      <c r="B44" s="2870" t="s">
        <v>432</v>
      </c>
      <c r="C44" s="2871"/>
      <c r="D44" s="2875" t="str">
        <f>D35</f>
        <v>Теплий помірно-вологий</v>
      </c>
      <c r="E44" s="2876"/>
      <c r="F44" s="2877"/>
      <c r="G44" s="1563"/>
      <c r="H44" s="2875" t="str">
        <f>D44</f>
        <v>Теплий помірно-вологий</v>
      </c>
      <c r="I44" s="2876"/>
      <c r="J44" s="2877"/>
      <c r="K44" s="1563"/>
      <c r="L44" s="1562" t="s">
        <v>431</v>
      </c>
      <c r="N44" s="1587"/>
      <c r="O44" s="1586"/>
      <c r="P44" s="1586"/>
      <c r="Q44" s="1586"/>
      <c r="R44" s="1586"/>
      <c r="S44" s="1586"/>
      <c r="T44" s="1586"/>
      <c r="U44" s="1586"/>
      <c r="V44" s="1586"/>
      <c r="W44" s="1589"/>
      <c r="X44" s="1586"/>
      <c r="Y44" s="1586"/>
      <c r="Z44" s="1586"/>
      <c r="AA44" s="1589"/>
      <c r="AB44" s="1586"/>
      <c r="AC44" s="1586"/>
      <c r="AD44" s="1586"/>
      <c r="AE44" s="1585"/>
    </row>
    <row r="45" spans="1:31">
      <c r="A45" s="1565"/>
      <c r="B45" s="2870" t="s">
        <v>1623</v>
      </c>
      <c r="C45" s="2871"/>
      <c r="D45" s="2947" t="s">
        <v>1522</v>
      </c>
      <c r="E45" s="2948"/>
      <c r="F45" s="2949"/>
      <c r="G45" s="1563"/>
      <c r="H45" s="2875" t="str">
        <f>D45</f>
        <v>Високоактивний глинозем</v>
      </c>
      <c r="I45" s="2876"/>
      <c r="J45" s="2877"/>
      <c r="K45" s="1563"/>
      <c r="L45" s="1562" t="s">
        <v>430</v>
      </c>
      <c r="N45" s="1590" t="s">
        <v>429</v>
      </c>
      <c r="O45" s="1586"/>
      <c r="P45" s="1586"/>
      <c r="Q45" s="1586"/>
      <c r="R45" s="1586"/>
      <c r="S45" s="1586"/>
      <c r="T45" s="1586"/>
      <c r="U45" s="1586"/>
      <c r="V45" s="1586"/>
      <c r="W45" s="1589"/>
      <c r="X45" s="1586"/>
      <c r="Y45" s="1586"/>
      <c r="Z45" s="1586"/>
      <c r="AA45" s="1589"/>
      <c r="AB45" s="1586"/>
      <c r="AC45" s="1586"/>
      <c r="AD45" s="1586"/>
      <c r="AE45" s="1585"/>
    </row>
    <row r="46" spans="1:31" ht="15.75">
      <c r="A46" s="1565"/>
      <c r="B46" s="2870" t="s">
        <v>1624</v>
      </c>
      <c r="C46" s="2871"/>
      <c r="D46" s="2875" t="s">
        <v>428</v>
      </c>
      <c r="E46" s="2876"/>
      <c r="F46" s="2877"/>
      <c r="G46" s="1563"/>
      <c r="H46" s="2875" t="s">
        <v>427</v>
      </c>
      <c r="I46" s="2876"/>
      <c r="J46" s="2877"/>
      <c r="K46" s="1563"/>
      <c r="L46" s="1573" t="s">
        <v>424</v>
      </c>
      <c r="N46" s="1593" t="s">
        <v>1315</v>
      </c>
      <c r="O46" s="1586" t="s">
        <v>1391</v>
      </c>
      <c r="P46" s="2872" t="s">
        <v>1389</v>
      </c>
      <c r="Q46" s="2873"/>
      <c r="R46" s="2873"/>
      <c r="S46" s="2873"/>
      <c r="T46" s="2873"/>
      <c r="U46" s="2873"/>
      <c r="V46" s="2874"/>
      <c r="W46" s="1589" t="s">
        <v>1390</v>
      </c>
      <c r="X46" s="2872" t="s">
        <v>1395</v>
      </c>
      <c r="Y46" s="2873"/>
      <c r="Z46" s="2873"/>
      <c r="AA46" s="2873"/>
      <c r="AB46" s="2873"/>
      <c r="AC46" s="2873"/>
      <c r="AD46" s="2874"/>
      <c r="AE46" s="1585"/>
    </row>
    <row r="47" spans="1:31" ht="15.75">
      <c r="A47" s="1565"/>
      <c r="B47" s="2870" t="s">
        <v>426</v>
      </c>
      <c r="C47" s="2871"/>
      <c r="D47" s="2875" t="s">
        <v>1523</v>
      </c>
      <c r="E47" s="2876"/>
      <c r="F47" s="2877"/>
      <c r="G47" s="1563"/>
      <c r="H47" s="2875" t="s">
        <v>425</v>
      </c>
      <c r="I47" s="2876"/>
      <c r="J47" s="2877"/>
      <c r="K47" s="1563"/>
      <c r="L47" s="1573" t="s">
        <v>424</v>
      </c>
      <c r="N47" s="1593" t="s">
        <v>1315</v>
      </c>
      <c r="O47" s="1586" t="s">
        <v>1391</v>
      </c>
      <c r="P47" s="2872" t="s">
        <v>1392</v>
      </c>
      <c r="Q47" s="2873"/>
      <c r="R47" s="2874"/>
      <c r="S47" s="1586" t="s">
        <v>1390</v>
      </c>
      <c r="T47" s="2872" t="s">
        <v>1398</v>
      </c>
      <c r="U47" s="2873"/>
      <c r="V47" s="2874"/>
      <c r="W47" s="1589" t="s">
        <v>1390</v>
      </c>
      <c r="X47" s="2872" t="s">
        <v>1397</v>
      </c>
      <c r="Y47" s="2873"/>
      <c r="Z47" s="2874"/>
      <c r="AA47" s="1589" t="s">
        <v>1390</v>
      </c>
      <c r="AB47" s="2872" t="s">
        <v>1314</v>
      </c>
      <c r="AC47" s="2873"/>
      <c r="AD47" s="2874"/>
      <c r="AE47" s="1585"/>
    </row>
    <row r="48" spans="1:31" ht="15.75">
      <c r="A48" s="1565"/>
      <c r="B48" s="1563"/>
      <c r="C48" s="1568"/>
      <c r="D48" s="1563"/>
      <c r="E48" s="1563"/>
      <c r="F48" s="1563"/>
      <c r="G48" s="1563"/>
      <c r="H48" s="1563"/>
      <c r="I48" s="1563"/>
      <c r="J48" s="1563"/>
      <c r="K48" s="1563"/>
      <c r="L48" s="1562"/>
      <c r="N48" s="1593" t="s">
        <v>1315</v>
      </c>
      <c r="O48" s="1586" t="s">
        <v>1391</v>
      </c>
      <c r="P48" s="1589" t="s">
        <v>1394</v>
      </c>
      <c r="Q48" s="1589" t="s">
        <v>1186</v>
      </c>
      <c r="R48" s="1589" t="s">
        <v>1393</v>
      </c>
      <c r="S48" s="1589" t="s">
        <v>1390</v>
      </c>
      <c r="T48" s="1600" t="s">
        <v>423</v>
      </c>
      <c r="U48" s="1589" t="s">
        <v>1186</v>
      </c>
      <c r="V48" s="1599" t="s">
        <v>422</v>
      </c>
      <c r="W48" s="1589" t="s">
        <v>1390</v>
      </c>
      <c r="X48" s="1589" t="s">
        <v>1396</v>
      </c>
      <c r="Y48" s="1589" t="s">
        <v>1186</v>
      </c>
      <c r="Z48" s="1589" t="s">
        <v>1399</v>
      </c>
      <c r="AA48" s="1589" t="s">
        <v>1390</v>
      </c>
      <c r="AB48" s="1589" t="s">
        <v>1400</v>
      </c>
      <c r="AC48" s="1589" t="s">
        <v>1186</v>
      </c>
      <c r="AD48" s="1589" t="s">
        <v>1313</v>
      </c>
      <c r="AE48" s="1585"/>
    </row>
    <row r="49" spans="1:31" ht="15.75">
      <c r="A49" s="1565"/>
      <c r="B49" s="1563"/>
      <c r="C49" s="1592" t="s">
        <v>921</v>
      </c>
      <c r="D49" s="1594">
        <v>88</v>
      </c>
      <c r="E49" s="2636" t="s">
        <v>10</v>
      </c>
      <c r="F49" s="1563"/>
      <c r="G49" s="1563"/>
      <c r="H49" s="1563">
        <f>D49</f>
        <v>88</v>
      </c>
      <c r="I49" s="2636" t="s">
        <v>9</v>
      </c>
      <c r="J49" s="1563"/>
      <c r="K49" s="1563"/>
      <c r="L49" s="1562" t="s">
        <v>1626</v>
      </c>
      <c r="N49" s="1593" t="s">
        <v>1315</v>
      </c>
      <c r="O49" s="1586" t="s">
        <v>1391</v>
      </c>
      <c r="P49" s="1597"/>
      <c r="Q49" s="1596"/>
      <c r="R49" s="1595">
        <v>0.47</v>
      </c>
      <c r="S49" s="1596"/>
      <c r="T49" s="1597"/>
      <c r="U49" s="1596"/>
      <c r="V49" s="1595">
        <v>0.47</v>
      </c>
      <c r="W49" s="1598"/>
      <c r="X49" s="1597"/>
      <c r="Y49" s="1596"/>
      <c r="Z49" s="1595">
        <v>0.5</v>
      </c>
      <c r="AA49" s="1598"/>
      <c r="AB49" s="1597"/>
      <c r="AC49" s="1596"/>
      <c r="AD49" s="1595">
        <v>0.4</v>
      </c>
      <c r="AE49" s="1585"/>
    </row>
    <row r="50" spans="1:31" ht="15.75">
      <c r="A50" s="1565"/>
      <c r="B50" s="1563"/>
      <c r="C50" s="1592" t="s">
        <v>927</v>
      </c>
      <c r="D50" s="1594">
        <v>0.69</v>
      </c>
      <c r="E50" s="1563"/>
      <c r="F50" s="1563"/>
      <c r="G50" s="1563"/>
      <c r="H50" s="1594">
        <v>1</v>
      </c>
      <c r="I50" s="1563"/>
      <c r="J50" s="1563"/>
      <c r="K50" s="1563"/>
      <c r="L50" s="1562" t="s">
        <v>419</v>
      </c>
      <c r="N50" s="1593"/>
      <c r="O50" s="1586"/>
      <c r="P50" s="1586"/>
      <c r="Q50" s="1586"/>
      <c r="R50" s="1586"/>
      <c r="S50" s="1586"/>
      <c r="T50" s="1586"/>
      <c r="U50" s="1586"/>
      <c r="V50" s="1586"/>
      <c r="W50" s="1589"/>
      <c r="X50" s="1586"/>
      <c r="Y50" s="1586"/>
      <c r="Z50" s="1586"/>
      <c r="AA50" s="1589"/>
      <c r="AB50" s="1586"/>
      <c r="AC50" s="1586"/>
      <c r="AD50" s="1586"/>
      <c r="AE50" s="1585"/>
    </row>
    <row r="51" spans="1:31" ht="15.75">
      <c r="A51" s="1565"/>
      <c r="B51" s="1563"/>
      <c r="C51" s="1592" t="s">
        <v>928</v>
      </c>
      <c r="D51" s="1591">
        <v>1</v>
      </c>
      <c r="E51" s="1563"/>
      <c r="F51" s="1563"/>
      <c r="G51" s="1563"/>
      <c r="H51" s="1591" t="s">
        <v>925</v>
      </c>
      <c r="I51" s="1563"/>
      <c r="J51" s="1563"/>
      <c r="K51" s="1563"/>
      <c r="L51" s="1562" t="s">
        <v>419</v>
      </c>
      <c r="N51" s="1593" t="s">
        <v>1315</v>
      </c>
      <c r="O51" s="1586" t="s">
        <v>1391</v>
      </c>
      <c r="P51" s="1586">
        <f>P49*R49+T49*V49+X49*Z49+AB49*AD49</f>
        <v>0</v>
      </c>
      <c r="Q51" s="1586"/>
      <c r="R51" s="1569" t="s">
        <v>421</v>
      </c>
      <c r="S51" s="1586"/>
      <c r="T51" s="1586"/>
      <c r="U51" s="2903" t="s">
        <v>420</v>
      </c>
      <c r="V51" s="2903"/>
      <c r="W51" s="2903"/>
      <c r="X51" s="2903"/>
      <c r="Y51" s="2903"/>
      <c r="Z51" s="2903"/>
      <c r="AA51" s="2903"/>
      <c r="AB51" s="2903"/>
      <c r="AC51" s="2903"/>
      <c r="AD51" s="2903"/>
      <c r="AE51" s="1585"/>
    </row>
    <row r="52" spans="1:31" ht="15.75">
      <c r="A52" s="1565"/>
      <c r="B52" s="1563"/>
      <c r="C52" s="1592" t="s">
        <v>905</v>
      </c>
      <c r="D52" s="1591">
        <v>1.1100000000000001</v>
      </c>
      <c r="E52" s="1563"/>
      <c r="F52" s="1563"/>
      <c r="G52" s="1563"/>
      <c r="H52" s="1591" t="s">
        <v>925</v>
      </c>
      <c r="I52" s="1563"/>
      <c r="J52" s="1563"/>
      <c r="K52" s="1563"/>
      <c r="L52" s="1562" t="s">
        <v>419</v>
      </c>
      <c r="N52" s="1587"/>
      <c r="O52" s="1586"/>
      <c r="P52" s="1586"/>
      <c r="Q52" s="1586"/>
      <c r="R52" s="1586"/>
      <c r="S52" s="1586"/>
      <c r="T52" s="1586"/>
      <c r="U52" s="1586"/>
      <c r="V52" s="1586"/>
      <c r="W52" s="1589"/>
      <c r="X52" s="1586"/>
      <c r="Y52" s="1586"/>
      <c r="Z52" s="1586"/>
      <c r="AA52" s="1589"/>
      <c r="AB52" s="1586"/>
      <c r="AC52" s="1586"/>
      <c r="AD52" s="1586"/>
      <c r="AE52" s="1585"/>
    </row>
    <row r="53" spans="1:31">
      <c r="A53" s="1565"/>
      <c r="B53" s="1563"/>
      <c r="C53" s="1563"/>
      <c r="D53" s="1563"/>
      <c r="E53" s="1563"/>
      <c r="F53" s="1563"/>
      <c r="G53" s="1563"/>
      <c r="H53" s="1563"/>
      <c r="I53" s="1563"/>
      <c r="J53" s="1563"/>
      <c r="K53" s="1563"/>
      <c r="L53" s="1562"/>
      <c r="N53" s="1590" t="s">
        <v>418</v>
      </c>
      <c r="O53" s="1586"/>
      <c r="P53" s="1586"/>
      <c r="Q53" s="1586"/>
      <c r="R53" s="1586"/>
      <c r="S53" s="1586"/>
      <c r="T53" s="1586"/>
      <c r="U53" s="1586"/>
      <c r="V53" s="1586"/>
      <c r="W53" s="1589"/>
      <c r="X53" s="1586"/>
      <c r="Y53" s="1586"/>
      <c r="Z53" s="1586"/>
      <c r="AA53" s="1589"/>
      <c r="AB53" s="1586"/>
      <c r="AC53" s="1586"/>
      <c r="AD53" s="1586"/>
      <c r="AE53" s="1585"/>
    </row>
    <row r="54" spans="1:31">
      <c r="A54" s="1565"/>
      <c r="B54" s="1570"/>
      <c r="C54" s="1563"/>
      <c r="D54" s="1563"/>
      <c r="E54" s="1563"/>
      <c r="F54" s="1563"/>
      <c r="G54" s="1563"/>
      <c r="H54" s="1563"/>
      <c r="I54" s="1563"/>
      <c r="J54" s="1563"/>
      <c r="K54" s="1563"/>
      <c r="L54" s="1562"/>
      <c r="N54" s="1587"/>
      <c r="O54" s="1586"/>
      <c r="P54" s="2950"/>
      <c r="Q54" s="2951"/>
      <c r="R54" s="2951"/>
      <c r="S54" s="2951"/>
      <c r="T54" s="2951"/>
      <c r="U54" s="2951"/>
      <c r="V54" s="2951"/>
      <c r="W54" s="2951"/>
      <c r="X54" s="2951"/>
      <c r="Y54" s="2951"/>
      <c r="Z54" s="2951"/>
      <c r="AA54" s="2951"/>
      <c r="AB54" s="2951"/>
      <c r="AC54" s="2951"/>
      <c r="AD54" s="2952"/>
      <c r="AE54" s="1585"/>
    </row>
    <row r="55" spans="1:31" ht="15.75">
      <c r="A55" s="1565"/>
      <c r="B55" s="2908" t="s">
        <v>417</v>
      </c>
      <c r="C55" s="2908"/>
      <c r="D55" s="1568" t="s">
        <v>454</v>
      </c>
      <c r="E55" s="1567">
        <f>D41+(D49*D50*(IF(AND(D51&gt;0,D51&lt;1000),D51,1))*(IF(AND(D52&gt;0,D52&lt;1000),D52,1)))</f>
        <v>67.399200000000008</v>
      </c>
      <c r="F55" s="2636" t="s">
        <v>0</v>
      </c>
      <c r="G55" s="1563"/>
      <c r="H55" s="1568" t="s">
        <v>453</v>
      </c>
      <c r="I55" s="1567">
        <f>H41+(H49*H50*(IF(AND(H51&gt;0,H51&lt;1000),H51,1))*(IF(AND(H52&gt;0,H52&lt;1000),H52,1)))</f>
        <v>172</v>
      </c>
      <c r="J55" s="2636" t="s">
        <v>10</v>
      </c>
      <c r="K55" s="1563"/>
      <c r="L55" s="1562"/>
      <c r="N55" s="1587"/>
      <c r="O55" s="1586"/>
      <c r="P55" s="2953"/>
      <c r="Q55" s="2954"/>
      <c r="R55" s="2954"/>
      <c r="S55" s="2954"/>
      <c r="T55" s="2954"/>
      <c r="U55" s="2954"/>
      <c r="V55" s="2954"/>
      <c r="W55" s="2954"/>
      <c r="X55" s="2954"/>
      <c r="Y55" s="2954"/>
      <c r="Z55" s="2954"/>
      <c r="AA55" s="2954"/>
      <c r="AB55" s="2954"/>
      <c r="AC55" s="2954"/>
      <c r="AD55" s="2955"/>
      <c r="AE55" s="1585"/>
    </row>
    <row r="56" spans="1:31" ht="15.75">
      <c r="A56" s="1565"/>
      <c r="B56" s="2908" t="s">
        <v>1524</v>
      </c>
      <c r="C56" s="2908"/>
      <c r="D56" s="1572" t="s">
        <v>820</v>
      </c>
      <c r="E56" s="1588">
        <f>([5]LUC!I$55-[5]LUC!E$55)*3.664/20</f>
        <v>19.162866560000001</v>
      </c>
      <c r="F56" s="1569" t="s">
        <v>1625</v>
      </c>
      <c r="G56" s="1563"/>
      <c r="H56" s="1563"/>
      <c r="I56" s="1563"/>
      <c r="J56" s="1563"/>
      <c r="K56" s="1563"/>
      <c r="L56" s="1562" t="s">
        <v>1627</v>
      </c>
      <c r="N56" s="1587"/>
      <c r="O56" s="1586"/>
      <c r="P56" s="2953"/>
      <c r="Q56" s="2954"/>
      <c r="R56" s="2954"/>
      <c r="S56" s="2954"/>
      <c r="T56" s="2954"/>
      <c r="U56" s="2954"/>
      <c r="V56" s="2954"/>
      <c r="W56" s="2954"/>
      <c r="X56" s="2954"/>
      <c r="Y56" s="2954"/>
      <c r="Z56" s="2954"/>
      <c r="AA56" s="2954"/>
      <c r="AB56" s="2954"/>
      <c r="AC56" s="2954"/>
      <c r="AD56" s="2955"/>
      <c r="AE56" s="1585"/>
    </row>
    <row r="57" spans="1:31" ht="15.75" thickBot="1">
      <c r="A57" s="1565"/>
      <c r="B57" s="1563"/>
      <c r="C57" s="1563"/>
      <c r="D57" s="1563"/>
      <c r="E57" s="1563"/>
      <c r="F57" s="1563"/>
      <c r="G57" s="1563"/>
      <c r="H57" s="1563"/>
      <c r="I57" s="1563"/>
      <c r="J57" s="1563"/>
      <c r="K57" s="1563"/>
      <c r="L57" s="1562"/>
      <c r="N57" s="1587"/>
      <c r="O57" s="1586"/>
      <c r="P57" s="2956"/>
      <c r="Q57" s="2957"/>
      <c r="R57" s="2957"/>
      <c r="S57" s="2957"/>
      <c r="T57" s="2957"/>
      <c r="U57" s="2957"/>
      <c r="V57" s="2957"/>
      <c r="W57" s="2957"/>
      <c r="X57" s="2957"/>
      <c r="Y57" s="2957"/>
      <c r="Z57" s="2957"/>
      <c r="AA57" s="2957"/>
      <c r="AB57" s="2957"/>
      <c r="AC57" s="2957"/>
      <c r="AD57" s="2958"/>
      <c r="AE57" s="1585"/>
    </row>
    <row r="58" spans="1:31" ht="15.75" thickBot="1">
      <c r="A58" s="1565"/>
      <c r="B58" s="2910" t="s">
        <v>1629</v>
      </c>
      <c r="C58" s="2911"/>
      <c r="D58" s="2911"/>
      <c r="E58" s="2911"/>
      <c r="F58" s="2911"/>
      <c r="G58" s="2911"/>
      <c r="H58" s="2911"/>
      <c r="I58" s="2911"/>
      <c r="J58" s="2911"/>
      <c r="K58" s="2911"/>
      <c r="L58" s="2912"/>
      <c r="N58" s="1584"/>
      <c r="O58" s="1582"/>
      <c r="P58" s="1582"/>
      <c r="Q58" s="1582"/>
      <c r="R58" s="1582"/>
      <c r="S58" s="1582"/>
      <c r="T58" s="1582"/>
      <c r="U58" s="1582"/>
      <c r="V58" s="1582"/>
      <c r="W58" s="1583"/>
      <c r="X58" s="1582"/>
      <c r="Y58" s="1582"/>
      <c r="Z58" s="1582"/>
      <c r="AA58" s="1583"/>
      <c r="AB58" s="1582"/>
      <c r="AC58" s="1582"/>
      <c r="AD58" s="1582"/>
      <c r="AE58" s="1581"/>
    </row>
    <row r="59" spans="1:31">
      <c r="A59" s="1565"/>
      <c r="B59" s="2898" t="s">
        <v>1630</v>
      </c>
      <c r="C59" s="2898"/>
      <c r="D59" s="2898"/>
      <c r="E59" s="2898"/>
      <c r="F59" s="2898"/>
      <c r="G59" s="2898"/>
      <c r="H59" s="2898"/>
      <c r="I59" s="2898"/>
      <c r="J59" s="2898"/>
      <c r="K59" s="2898"/>
      <c r="L59" s="2899"/>
    </row>
    <row r="60" spans="1:31">
      <c r="A60" s="1565"/>
      <c r="B60" s="2907" t="s">
        <v>1541</v>
      </c>
      <c r="C60" s="2898"/>
      <c r="D60" s="2898"/>
      <c r="E60" s="2898"/>
      <c r="F60" s="2898"/>
      <c r="G60" s="2898"/>
      <c r="H60" s="2898"/>
      <c r="I60" s="2898"/>
      <c r="J60" s="2898"/>
      <c r="K60" s="2898"/>
      <c r="L60" s="2899"/>
    </row>
    <row r="61" spans="1:31">
      <c r="A61" s="1565"/>
      <c r="B61" s="2908" t="s">
        <v>474</v>
      </c>
      <c r="C61" s="2908"/>
      <c r="D61" s="2908"/>
      <c r="E61" s="2908"/>
      <c r="F61" s="2908"/>
      <c r="G61" s="2908"/>
      <c r="H61" s="2908"/>
      <c r="I61" s="2908"/>
      <c r="J61" s="2908"/>
      <c r="K61" s="2908"/>
      <c r="L61" s="2909"/>
    </row>
    <row r="62" spans="1:31">
      <c r="A62" s="1565"/>
      <c r="B62" s="1580" t="s">
        <v>473</v>
      </c>
      <c r="C62" s="1563"/>
      <c r="D62" s="2913"/>
      <c r="E62" s="2914"/>
      <c r="F62" s="2914"/>
      <c r="G62" s="2914"/>
      <c r="H62" s="2914"/>
      <c r="I62" s="2915"/>
      <c r="J62" s="1579"/>
      <c r="K62" s="1579"/>
      <c r="L62" s="1578"/>
    </row>
    <row r="63" spans="1:31" ht="28.5" customHeight="1">
      <c r="A63" s="1565"/>
      <c r="B63" s="1569" t="s">
        <v>472</v>
      </c>
      <c r="C63" s="1569"/>
      <c r="D63" s="2916" t="s">
        <v>1842</v>
      </c>
      <c r="E63" s="2917"/>
      <c r="F63" s="2917"/>
      <c r="G63" s="2917"/>
      <c r="H63" s="2917"/>
      <c r="I63" s="2918"/>
      <c r="J63" s="1563"/>
      <c r="K63" s="1575" t="s">
        <v>471</v>
      </c>
      <c r="L63" s="1573" t="s">
        <v>470</v>
      </c>
    </row>
    <row r="64" spans="1:31">
      <c r="A64" s="1565"/>
      <c r="B64" s="1569"/>
      <c r="C64" s="1569"/>
      <c r="D64" s="2919"/>
      <c r="E64" s="2920"/>
      <c r="F64" s="2920"/>
      <c r="G64" s="2920"/>
      <c r="H64" s="2920"/>
      <c r="I64" s="2921"/>
      <c r="J64" s="1563"/>
      <c r="K64" s="1563"/>
      <c r="L64" s="1573" t="s">
        <v>469</v>
      </c>
    </row>
    <row r="65" spans="1:12" s="1552" customFormat="1">
      <c r="A65" s="1565"/>
      <c r="B65" s="1569"/>
      <c r="C65" s="1569"/>
      <c r="D65" s="2919"/>
      <c r="E65" s="2920"/>
      <c r="F65" s="2920"/>
      <c r="G65" s="2920"/>
      <c r="H65" s="2920"/>
      <c r="I65" s="2921"/>
      <c r="J65" s="1563"/>
      <c r="K65" s="1563"/>
      <c r="L65" s="1573" t="s">
        <v>468</v>
      </c>
    </row>
    <row r="66" spans="1:12" s="1552" customFormat="1">
      <c r="A66" s="1565"/>
      <c r="B66" s="1569"/>
      <c r="C66" s="1569"/>
      <c r="D66" s="2919"/>
      <c r="E66" s="2920"/>
      <c r="F66" s="2920"/>
      <c r="G66" s="2920"/>
      <c r="H66" s="2920"/>
      <c r="I66" s="2921"/>
      <c r="J66" s="1563"/>
      <c r="K66" s="1563"/>
      <c r="L66" s="1562"/>
    </row>
    <row r="67" spans="1:12" s="1552" customFormat="1">
      <c r="A67" s="1565"/>
      <c r="B67" s="1569"/>
      <c r="C67" s="1569"/>
      <c r="D67" s="2904"/>
      <c r="E67" s="2905"/>
      <c r="F67" s="2905"/>
      <c r="G67" s="2905"/>
      <c r="H67" s="2905"/>
      <c r="I67" s="2906"/>
      <c r="J67" s="1563"/>
      <c r="K67" s="1563"/>
      <c r="L67" s="1562"/>
    </row>
    <row r="68" spans="1:12" s="1552" customFormat="1">
      <c r="A68" s="1565"/>
      <c r="B68" s="1570"/>
      <c r="C68" s="1563"/>
      <c r="D68" s="1568"/>
      <c r="E68" s="1567"/>
      <c r="F68" s="1563"/>
      <c r="G68" s="1563"/>
      <c r="H68" s="1568"/>
      <c r="I68" s="1567"/>
      <c r="J68" s="1563"/>
      <c r="K68" s="1563"/>
      <c r="L68" s="1562"/>
    </row>
    <row r="69" spans="1:12" s="1552" customFormat="1">
      <c r="A69" s="1565"/>
      <c r="B69" s="2926" t="s">
        <v>467</v>
      </c>
      <c r="C69" s="2926"/>
      <c r="D69" s="2926"/>
      <c r="E69" s="2926"/>
      <c r="F69" s="2926"/>
      <c r="G69" s="2926"/>
      <c r="H69" s="2926"/>
      <c r="I69" s="2926"/>
      <c r="J69" s="2926"/>
      <c r="K69" s="2926"/>
      <c r="L69" s="2927"/>
    </row>
    <row r="70" spans="1:12" s="1552" customFormat="1">
      <c r="A70" s="1565"/>
      <c r="B70" s="1569" t="s">
        <v>466</v>
      </c>
      <c r="C70" s="1563"/>
      <c r="D70" s="1568"/>
      <c r="E70" s="1567"/>
      <c r="F70" s="1563"/>
      <c r="G70" s="1563"/>
      <c r="H70" s="1568"/>
      <c r="I70" s="1567"/>
      <c r="J70" s="1563"/>
      <c r="K70" s="1563"/>
      <c r="L70" s="1562"/>
    </row>
    <row r="71" spans="1:12" s="1552" customFormat="1">
      <c r="A71" s="1565"/>
      <c r="B71" s="1570"/>
      <c r="C71" s="1575" t="s">
        <v>465</v>
      </c>
      <c r="D71" s="1568"/>
      <c r="E71" s="1577" t="s">
        <v>747</v>
      </c>
      <c r="F71" s="1563"/>
      <c r="G71" s="1576" t="s">
        <v>747</v>
      </c>
      <c r="H71" s="1576" t="s">
        <v>748</v>
      </c>
      <c r="I71" s="1567"/>
      <c r="J71" s="1563"/>
      <c r="K71" s="1563"/>
      <c r="L71" s="1562"/>
    </row>
    <row r="72" spans="1:12" s="1552" customFormat="1">
      <c r="A72" s="1565"/>
      <c r="B72" s="1570"/>
      <c r="C72" s="1575" t="s">
        <v>464</v>
      </c>
      <c r="D72" s="1568"/>
      <c r="E72" s="1577" t="s">
        <v>747</v>
      </c>
      <c r="F72" s="1563"/>
      <c r="G72" s="1576" t="s">
        <v>747</v>
      </c>
      <c r="H72" s="1576" t="s">
        <v>748</v>
      </c>
      <c r="I72" s="1567"/>
      <c r="J72" s="1563"/>
      <c r="K72" s="1563"/>
      <c r="L72" s="1562"/>
    </row>
    <row r="73" spans="1:12" s="1552" customFormat="1">
      <c r="A73" s="1565"/>
      <c r="B73" s="1570"/>
      <c r="C73" s="1575" t="s">
        <v>463</v>
      </c>
      <c r="D73" s="1568"/>
      <c r="E73" s="1577" t="s">
        <v>747</v>
      </c>
      <c r="F73" s="1563"/>
      <c r="G73" s="1576" t="s">
        <v>747</v>
      </c>
      <c r="H73" s="1576" t="s">
        <v>748</v>
      </c>
      <c r="I73" s="1567"/>
      <c r="J73" s="1563"/>
      <c r="K73" s="1563"/>
      <c r="L73" s="1562"/>
    </row>
    <row r="74" spans="1:12" s="1552" customFormat="1">
      <c r="A74" s="1565"/>
      <c r="B74" s="2903" t="s">
        <v>462</v>
      </c>
      <c r="C74" s="2903"/>
      <c r="D74" s="1568"/>
      <c r="E74" s="1577" t="s">
        <v>747</v>
      </c>
      <c r="F74" s="1563"/>
      <c r="G74" s="1576" t="s">
        <v>747</v>
      </c>
      <c r="H74" s="1576" t="s">
        <v>748</v>
      </c>
      <c r="I74" s="1567"/>
      <c r="J74" s="1563"/>
      <c r="K74" s="1563"/>
      <c r="L74" s="1562"/>
    </row>
    <row r="75" spans="1:12" s="1552" customFormat="1">
      <c r="A75" s="1565"/>
      <c r="B75" s="1570"/>
      <c r="C75" s="1569"/>
      <c r="D75" s="1568"/>
      <c r="E75" s="1567"/>
      <c r="F75" s="1563"/>
      <c r="G75" s="1563"/>
      <c r="H75" s="1568"/>
      <c r="I75" s="1567"/>
      <c r="J75" s="1563"/>
      <c r="K75" s="1563"/>
      <c r="L75" s="1562"/>
    </row>
    <row r="76" spans="1:12" s="1552" customFormat="1" ht="15.75">
      <c r="A76" s="1565"/>
      <c r="B76" s="1570" t="s">
        <v>461</v>
      </c>
      <c r="C76" s="1563"/>
      <c r="D76" s="1575" t="s">
        <v>460</v>
      </c>
      <c r="E76" s="1574">
        <v>0</v>
      </c>
      <c r="F76" s="2636" t="s">
        <v>10</v>
      </c>
      <c r="G76" s="1563"/>
      <c r="H76" s="1575" t="s">
        <v>459</v>
      </c>
      <c r="I76" s="1574">
        <v>0</v>
      </c>
      <c r="J76" s="2636" t="s">
        <v>10</v>
      </c>
      <c r="K76" s="1563"/>
      <c r="L76" s="1573" t="s">
        <v>458</v>
      </c>
    </row>
    <row r="77" spans="1:12" s="1552" customFormat="1" ht="15.75">
      <c r="A77" s="1565"/>
      <c r="B77" s="1570" t="s">
        <v>1540</v>
      </c>
      <c r="C77" s="1563"/>
      <c r="D77" s="1575" t="s">
        <v>457</v>
      </c>
      <c r="E77" s="1574">
        <v>0</v>
      </c>
      <c r="F77" s="2636" t="s">
        <v>10</v>
      </c>
      <c r="G77" s="1563"/>
      <c r="H77" s="1575" t="s">
        <v>456</v>
      </c>
      <c r="I77" s="1574">
        <v>0</v>
      </c>
      <c r="J77" s="2636" t="s">
        <v>10</v>
      </c>
      <c r="K77" s="1563"/>
      <c r="L77" s="1573" t="s">
        <v>455</v>
      </c>
    </row>
    <row r="78" spans="1:12" s="1552" customFormat="1" ht="15.75">
      <c r="A78" s="1565"/>
      <c r="B78" s="1570"/>
      <c r="C78" s="1569"/>
      <c r="D78" s="1568" t="s">
        <v>454</v>
      </c>
      <c r="E78" s="1567">
        <f>E76+E77</f>
        <v>0</v>
      </c>
      <c r="F78" s="2636" t="s">
        <v>10</v>
      </c>
      <c r="G78" s="1563"/>
      <c r="H78" s="1568" t="s">
        <v>453</v>
      </c>
      <c r="I78" s="1567">
        <f>I76+I77</f>
        <v>0</v>
      </c>
      <c r="J78" s="2636" t="s">
        <v>10</v>
      </c>
      <c r="K78" s="1563"/>
      <c r="L78" s="1562"/>
    </row>
    <row r="79" spans="1:12" s="1552" customFormat="1">
      <c r="A79" s="1565"/>
      <c r="B79" s="1570" t="s">
        <v>1524</v>
      </c>
      <c r="C79" s="1563"/>
      <c r="D79" s="1572" t="s">
        <v>820</v>
      </c>
      <c r="E79" s="1571">
        <f>(I78-E78)*3.664/20</f>
        <v>0</v>
      </c>
      <c r="F79" s="2908" t="s">
        <v>1</v>
      </c>
      <c r="G79" s="2908"/>
      <c r="H79" s="1568"/>
      <c r="I79" s="1567"/>
      <c r="J79" s="1563"/>
      <c r="K79" s="1563"/>
      <c r="L79" s="1562" t="s">
        <v>1627</v>
      </c>
    </row>
    <row r="80" spans="1:12" s="1552" customFormat="1">
      <c r="A80" s="1565"/>
      <c r="B80" s="1570"/>
      <c r="C80" s="1569"/>
      <c r="D80" s="1568"/>
      <c r="E80" s="1567"/>
      <c r="F80" s="1563"/>
      <c r="G80" s="1563"/>
      <c r="H80" s="1568"/>
      <c r="I80" s="1567"/>
      <c r="J80" s="1563"/>
      <c r="K80" s="1563"/>
      <c r="L80" s="1562"/>
    </row>
    <row r="81" spans="1:12" s="1552" customFormat="1" ht="15.75" thickBot="1">
      <c r="A81" s="1565"/>
      <c r="B81" s="1570"/>
      <c r="C81" s="1569"/>
      <c r="D81" s="1568"/>
      <c r="E81" s="1567"/>
      <c r="F81" s="1563"/>
      <c r="G81" s="1563"/>
      <c r="H81" s="1568"/>
      <c r="I81" s="1567"/>
      <c r="J81" s="1563"/>
      <c r="K81" s="1563"/>
      <c r="L81" s="1562"/>
    </row>
    <row r="82" spans="1:12" s="1552" customFormat="1" ht="33" customHeight="1" thickBot="1">
      <c r="A82" s="1565"/>
      <c r="B82" s="2922" t="s">
        <v>1527</v>
      </c>
      <c r="C82" s="2923"/>
      <c r="D82" s="2923"/>
      <c r="E82" s="2928" t="s">
        <v>1528</v>
      </c>
      <c r="F82" s="2928"/>
      <c r="G82" s="2928"/>
      <c r="H82" s="2928"/>
      <c r="I82" s="2928"/>
      <c r="J82" s="1566">
        <f>IF(E22=I21,E56,IF(E22=I22,E79,IF(E22=I23,E79,E56)))</f>
        <v>19.162866560000001</v>
      </c>
      <c r="K82" s="2924" t="s">
        <v>1631</v>
      </c>
      <c r="L82" s="2925"/>
    </row>
    <row r="83" spans="1:12" s="1552" customFormat="1">
      <c r="A83" s="1565"/>
      <c r="B83" s="1563"/>
      <c r="C83" s="1563"/>
      <c r="D83" s="1563"/>
      <c r="E83" s="1563"/>
      <c r="F83" s="1563"/>
      <c r="G83" s="1563"/>
      <c r="H83" s="1563"/>
      <c r="I83" s="1563"/>
      <c r="J83" s="1563"/>
      <c r="K83" s="1563"/>
      <c r="L83" s="1562"/>
    </row>
    <row r="84" spans="1:12" s="1552" customFormat="1">
      <c r="A84" s="1565"/>
      <c r="B84" s="1563"/>
      <c r="C84" s="1563"/>
      <c r="D84" s="1563"/>
      <c r="E84" s="1563"/>
      <c r="F84" s="1563"/>
      <c r="G84" s="1563"/>
      <c r="H84" s="1563"/>
      <c r="I84" s="1563"/>
      <c r="J84" s="1564"/>
      <c r="K84" s="1563"/>
      <c r="L84" s="1562"/>
    </row>
    <row r="85" spans="1:12" s="1552" customFormat="1" ht="15.75" thickBot="1">
      <c r="A85" s="1561"/>
      <c r="B85" s="1560"/>
      <c r="C85" s="1560"/>
      <c r="D85" s="1560"/>
      <c r="E85" s="1560"/>
      <c r="F85" s="1560"/>
      <c r="G85" s="1560"/>
      <c r="H85" s="1560"/>
      <c r="I85" s="1560"/>
      <c r="J85" s="1560"/>
      <c r="K85" s="1560"/>
      <c r="L85" s="1559"/>
    </row>
    <row r="86" spans="1:12" s="1552" customFormat="1">
      <c r="A86" s="1557"/>
      <c r="B86" s="1558"/>
      <c r="C86" s="1558"/>
      <c r="D86" s="1558"/>
      <c r="E86" s="1558"/>
      <c r="F86" s="1558"/>
      <c r="G86" s="1558"/>
      <c r="H86" s="1558"/>
      <c r="I86" s="1558"/>
      <c r="J86" s="1558"/>
      <c r="K86" s="1558"/>
      <c r="L86" s="1558"/>
    </row>
    <row r="87" spans="1:12" s="1552" customFormat="1">
      <c r="A87" s="1557"/>
      <c r="B87" s="1557"/>
      <c r="C87" s="1557"/>
      <c r="D87" s="1557"/>
      <c r="E87" s="1557"/>
      <c r="F87" s="1557"/>
      <c r="G87" s="1557"/>
      <c r="H87" s="1557"/>
      <c r="I87" s="1557"/>
      <c r="J87" s="1557"/>
      <c r="K87" s="1557"/>
      <c r="L87" s="1557"/>
    </row>
    <row r="88" spans="1:12" s="1552" customFormat="1">
      <c r="A88" s="1557"/>
      <c r="B88" s="1557"/>
      <c r="C88" s="1557"/>
      <c r="D88" s="1557"/>
      <c r="E88" s="1557"/>
      <c r="F88" s="1557"/>
      <c r="G88" s="1557"/>
      <c r="H88" s="1557"/>
      <c r="I88" s="1557"/>
      <c r="J88" s="1557"/>
      <c r="K88" s="1557"/>
      <c r="L88" s="1557"/>
    </row>
    <row r="89" spans="1:12" s="1552" customFormat="1">
      <c r="A89" s="1557"/>
      <c r="B89" s="1557"/>
      <c r="C89" s="1557"/>
      <c r="D89" s="1557"/>
      <c r="E89" s="1557"/>
      <c r="F89" s="1557"/>
      <c r="G89" s="1557"/>
      <c r="H89" s="1557"/>
      <c r="I89" s="1557"/>
      <c r="J89" s="1557"/>
      <c r="K89" s="1557"/>
      <c r="L89" s="1557"/>
    </row>
    <row r="90" spans="1:12" s="1552" customFormat="1">
      <c r="A90" s="1557"/>
      <c r="B90" s="1557"/>
      <c r="C90" s="1557"/>
      <c r="D90" s="1557"/>
      <c r="E90" s="1557"/>
      <c r="F90" s="1557"/>
      <c r="G90" s="1557"/>
      <c r="H90" s="1557"/>
      <c r="I90" s="1557"/>
      <c r="J90" s="1557"/>
      <c r="K90" s="1557"/>
      <c r="L90" s="1557"/>
    </row>
    <row r="91" spans="1:12" s="1552" customFormat="1">
      <c r="A91" s="1557"/>
      <c r="B91" s="1557"/>
      <c r="C91" s="1557"/>
      <c r="D91" s="1557"/>
      <c r="E91" s="1557"/>
      <c r="F91" s="1557"/>
      <c r="G91" s="1557"/>
      <c r="H91" s="1557"/>
      <c r="I91" s="1557"/>
      <c r="J91" s="1557"/>
      <c r="K91" s="1557"/>
      <c r="L91" s="1557"/>
    </row>
    <row r="92" spans="1:12" s="1552" customFormat="1">
      <c r="A92" s="1557"/>
      <c r="B92" s="1557"/>
      <c r="C92" s="1557"/>
      <c r="D92" s="1557"/>
      <c r="E92" s="1557"/>
      <c r="F92" s="1557"/>
      <c r="G92" s="1557"/>
      <c r="H92" s="1557"/>
      <c r="I92" s="1557"/>
      <c r="J92" s="1557"/>
      <c r="K92" s="1557"/>
      <c r="L92" s="1557"/>
    </row>
    <row r="93" spans="1:12" s="1552" customFormat="1">
      <c r="A93" s="1557"/>
      <c r="B93" s="1557"/>
      <c r="C93" s="1557"/>
      <c r="D93" s="1557"/>
      <c r="E93" s="1557"/>
      <c r="F93" s="1557"/>
      <c r="G93" s="1557"/>
      <c r="H93" s="1557"/>
      <c r="I93" s="1557"/>
      <c r="J93" s="1557"/>
      <c r="K93" s="1557"/>
      <c r="L93" s="1557"/>
    </row>
    <row r="94" spans="1:12" s="1552" customFormat="1">
      <c r="A94" s="1557"/>
      <c r="B94" s="1557"/>
      <c r="C94" s="1557"/>
      <c r="D94" s="1557"/>
      <c r="E94" s="1557"/>
      <c r="F94" s="1557"/>
      <c r="G94" s="1557"/>
      <c r="H94" s="1557"/>
      <c r="I94" s="1557"/>
      <c r="J94" s="1557"/>
      <c r="K94" s="1557"/>
      <c r="L94" s="1557"/>
    </row>
    <row r="95" spans="1:12" s="1552" customFormat="1">
      <c r="A95" s="1557"/>
      <c r="B95" s="1557"/>
      <c r="C95" s="1557"/>
      <c r="D95" s="1557"/>
      <c r="E95" s="1557"/>
      <c r="F95" s="1557"/>
      <c r="G95" s="1557"/>
      <c r="H95" s="1557"/>
      <c r="I95" s="1557"/>
      <c r="J95" s="1557"/>
      <c r="K95" s="1557"/>
      <c r="L95" s="1557"/>
    </row>
    <row r="96" spans="1:12" s="1552" customFormat="1">
      <c r="A96" s="1557"/>
      <c r="B96" s="1557"/>
      <c r="C96" s="1557"/>
      <c r="D96" s="1557"/>
      <c r="E96" s="1557"/>
      <c r="F96" s="1557"/>
      <c r="G96" s="1557"/>
      <c r="H96" s="1557"/>
      <c r="I96" s="1557"/>
      <c r="J96" s="1557"/>
      <c r="K96" s="1557"/>
      <c r="L96" s="1557"/>
    </row>
  </sheetData>
  <mergeCells count="89">
    <mergeCell ref="H39:J39"/>
    <mergeCell ref="P39:R39"/>
    <mergeCell ref="T39:V39"/>
    <mergeCell ref="X39:Z39"/>
    <mergeCell ref="P38:V38"/>
    <mergeCell ref="D35:F35"/>
    <mergeCell ref="H35:J35"/>
    <mergeCell ref="D36:F36"/>
    <mergeCell ref="H36:J36"/>
    <mergeCell ref="P54:AD57"/>
    <mergeCell ref="P46:V46"/>
    <mergeCell ref="D46:F46"/>
    <mergeCell ref="H46:J46"/>
    <mergeCell ref="D44:F44"/>
    <mergeCell ref="H44:J44"/>
    <mergeCell ref="D45:F45"/>
    <mergeCell ref="H45:J45"/>
    <mergeCell ref="U51:AD51"/>
    <mergeCell ref="D40:F40"/>
    <mergeCell ref="X38:AD38"/>
    <mergeCell ref="D39:F39"/>
    <mergeCell ref="D10:L10"/>
    <mergeCell ref="D11:L12"/>
    <mergeCell ref="D13:L13"/>
    <mergeCell ref="D14:L14"/>
    <mergeCell ref="D15:L15"/>
    <mergeCell ref="A2:L2"/>
    <mergeCell ref="B4:L4"/>
    <mergeCell ref="B5:E5"/>
    <mergeCell ref="B6:L6"/>
    <mergeCell ref="D9:L9"/>
    <mergeCell ref="D16:L16"/>
    <mergeCell ref="D17:L17"/>
    <mergeCell ref="I23:K23"/>
    <mergeCell ref="B22:D22"/>
    <mergeCell ref="I21:K21"/>
    <mergeCell ref="I22:K22"/>
    <mergeCell ref="D18:L18"/>
    <mergeCell ref="B82:D82"/>
    <mergeCell ref="K82:L82"/>
    <mergeCell ref="B69:L69"/>
    <mergeCell ref="F79:G79"/>
    <mergeCell ref="E82:I82"/>
    <mergeCell ref="B74:C74"/>
    <mergeCell ref="H40:J40"/>
    <mergeCell ref="U43:AD43"/>
    <mergeCell ref="D67:I67"/>
    <mergeCell ref="B59:L59"/>
    <mergeCell ref="B60:L60"/>
    <mergeCell ref="B61:L61"/>
    <mergeCell ref="B47:C47"/>
    <mergeCell ref="B55:C55"/>
    <mergeCell ref="B56:C56"/>
    <mergeCell ref="B58:L58"/>
    <mergeCell ref="D62:I62"/>
    <mergeCell ref="D63:I63"/>
    <mergeCell ref="D64:I64"/>
    <mergeCell ref="D65:I65"/>
    <mergeCell ref="D66:I66"/>
    <mergeCell ref="D47:F47"/>
    <mergeCell ref="B43:C43"/>
    <mergeCell ref="B35:C35"/>
    <mergeCell ref="B36:C36"/>
    <mergeCell ref="B38:C38"/>
    <mergeCell ref="B39:C39"/>
    <mergeCell ref="B40:C40"/>
    <mergeCell ref="B24:L24"/>
    <mergeCell ref="B25:L25"/>
    <mergeCell ref="N36:AE36"/>
    <mergeCell ref="B44:C44"/>
    <mergeCell ref="B45:C45"/>
    <mergeCell ref="D33:F33"/>
    <mergeCell ref="H33:J33"/>
    <mergeCell ref="AB39:AD39"/>
    <mergeCell ref="B26:L26"/>
    <mergeCell ref="B27:L27"/>
    <mergeCell ref="B29:F29"/>
    <mergeCell ref="B31:C31"/>
    <mergeCell ref="D31:F31"/>
    <mergeCell ref="G29:I29"/>
    <mergeCell ref="G31:L31"/>
    <mergeCell ref="N35:AE35"/>
    <mergeCell ref="B46:C46"/>
    <mergeCell ref="X46:AD46"/>
    <mergeCell ref="P47:R47"/>
    <mergeCell ref="T47:V47"/>
    <mergeCell ref="X47:Z47"/>
    <mergeCell ref="AB47:AD47"/>
    <mergeCell ref="H47:J47"/>
  </mergeCells>
  <phoneticPr fontId="184" type="noConversion"/>
  <dataValidations count="5">
    <dataValidation type="list" allowBlank="1" showInputMessage="1" showErrorMessage="1" sqref="E73 E65609 E131145 E196681 E262217 E327753 E393289 E458825 E524361 E589897 E655433 E720969 E786505 E852041 E917577 E983113">
      <formula1>$G$73:$H$73</formula1>
    </dataValidation>
    <dataValidation type="list" allowBlank="1" showInputMessage="1" showErrorMessage="1" sqref="E72 E65608 E131144 E196680 E262216 E327752 E393288 E458824 E524360 E589896 E655432 E720968 E786504 E852040 E917576 E983112">
      <formula1>$G$72:$H$72</formula1>
    </dataValidation>
    <dataValidation type="list" allowBlank="1" showInputMessage="1" showErrorMessage="1" sqref="E71 E65607 E131143 E196679 E262215 E327751 E393287 E458823 E524359 E589895 E655431 E720967 E786503 E852039 E917575 E983111">
      <formula1>$G$71:$H$71</formula1>
    </dataValidation>
    <dataValidation type="list" allowBlank="1" showInputMessage="1" showErrorMessage="1" sqref="E74 E65610 E131146 E196682 E262218 E327754 E393290 E458826 E524362 E589898 E655434 E720970 E786506 E852042 E917578 E983114">
      <formula1>$G$74:$H$74</formula1>
    </dataValidation>
    <dataValidation type="list" allowBlank="1" showInputMessage="1" showErrorMessage="1" sqref="D62:I62 D65598:I65598 D131134:I131134 D196670:I196670 D262206:I262206 D327742:I327742 D393278:I393278 D458814:I458814 D524350:I524350 D589886:I589886 D655422:I655422 D720958:I720958 D786494:I786494 D852030:I852030 D917566:I917566 D983102:I983102">
      <formula1>$J$62:$L$62</formula1>
    </dataValidation>
  </dataValidations>
  <hyperlinks>
    <hyperlink ref="F5:K5" r:id="rId1" display="Commission Decision of 10 June 2010 on guidelines for the calculation of land use carbon stocks for the purpose of Annex V of Directive 2009/28/EC"/>
    <hyperlink ref="G5:L5" r:id="rId2" display="http://eur-lex.europa.eu/LexUriServ/LexUriServ.do?uri=OJ:L:2010:151:0019:0041:EN:PDF"/>
  </hyperlinks>
  <pageMargins left="0.7" right="0.7" top="0.75" bottom="0.75" header="0.3" footer="0.3"/>
  <pageSetup paperSize="9" orientation="portrait" r:id="rId3"/>
  <drawing r:id="rId4"/>
  <legacyDrawing r:id="rId5"/>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sheetPr codeName="Blad24"/>
  <dimension ref="A1:AE96"/>
  <sheetViews>
    <sheetView showGridLines="0" zoomScale="80" workbookViewId="0">
      <selection activeCell="H44" sqref="H44:J44"/>
    </sheetView>
  </sheetViews>
  <sheetFormatPr defaultColWidth="8.85546875" defaultRowHeight="12.75"/>
  <cols>
    <col min="1" max="1" width="2" customWidth="1"/>
    <col min="2" max="2" width="24.42578125" customWidth="1"/>
    <col min="3" max="3" width="12.7109375" customWidth="1"/>
    <col min="4" max="6" width="11.42578125" customWidth="1"/>
    <col min="7" max="7" width="7.42578125" customWidth="1"/>
    <col min="8" max="10" width="11.42578125" customWidth="1"/>
    <col min="11" max="11" width="5.7109375" customWidth="1"/>
    <col min="12" max="12" width="91.85546875" customWidth="1"/>
    <col min="13" max="13" width="5.140625" style="2" customWidth="1"/>
    <col min="14" max="14" width="8.85546875" style="633"/>
    <col min="15" max="15" width="4.42578125" style="622" customWidth="1"/>
    <col min="16" max="16" width="6.140625" style="622" customWidth="1"/>
    <col min="17" max="17" width="3.42578125" style="622" customWidth="1"/>
    <col min="18" max="18" width="6.7109375" style="622" customWidth="1"/>
    <col min="19" max="19" width="2.28515625" style="616" customWidth="1"/>
    <col min="20" max="20" width="14.140625" style="616" customWidth="1"/>
    <col min="21" max="21" width="3.7109375" style="616" customWidth="1"/>
    <col min="22" max="22" width="9.42578125" style="616" customWidth="1"/>
    <col min="23" max="23" width="3.28515625" style="616" customWidth="1"/>
    <col min="24" max="24" width="8.85546875" style="581"/>
    <col min="25" max="25" width="2.42578125" style="581" customWidth="1"/>
    <col min="26" max="26" width="7.85546875" style="581" customWidth="1"/>
    <col min="27" max="27" width="2.42578125" style="616" customWidth="1"/>
    <col min="28" max="28" width="8.85546875" style="581"/>
    <col min="29" max="29" width="2.28515625" style="581" customWidth="1"/>
    <col min="30" max="30" width="8.28515625" style="581" customWidth="1"/>
    <col min="31" max="31" width="36" style="581" customWidth="1"/>
  </cols>
  <sheetData>
    <row r="1" spans="1:31" ht="102.75" customHeight="1">
      <c r="A1" s="518"/>
      <c r="B1" s="518"/>
      <c r="C1" s="518"/>
      <c r="D1" s="518"/>
      <c r="E1" s="518"/>
      <c r="F1" s="518"/>
      <c r="G1" s="518"/>
      <c r="H1" s="518"/>
      <c r="I1" s="518"/>
      <c r="J1" s="518"/>
      <c r="K1" s="518"/>
      <c r="L1" s="518"/>
    </row>
    <row r="2" spans="1:31" s="113" customFormat="1" ht="27.75" customHeight="1">
      <c r="A2" s="282" t="s">
        <v>911</v>
      </c>
      <c r="B2" s="283"/>
      <c r="C2" s="284"/>
      <c r="D2" s="284"/>
      <c r="E2" s="284"/>
      <c r="F2" s="285"/>
      <c r="G2" s="286"/>
      <c r="H2" s="287"/>
      <c r="I2" s="531"/>
      <c r="J2" s="286"/>
      <c r="K2" s="287"/>
      <c r="L2" s="531" t="str">
        <f>About!D2</f>
        <v>Version 4 - Public</v>
      </c>
      <c r="M2" s="2"/>
      <c r="N2" s="633"/>
      <c r="O2" s="622"/>
      <c r="P2" s="622"/>
      <c r="Q2" s="630"/>
      <c r="R2" s="630"/>
      <c r="S2" s="631"/>
      <c r="T2" s="631"/>
      <c r="U2" s="631"/>
      <c r="V2" s="631"/>
      <c r="W2" s="631"/>
      <c r="X2" s="632"/>
      <c r="Y2" s="632"/>
      <c r="Z2" s="632"/>
      <c r="AA2" s="631"/>
      <c r="AB2" s="632"/>
      <c r="AC2" s="632"/>
      <c r="AD2" s="632"/>
      <c r="AE2" s="632"/>
    </row>
    <row r="3" spans="1:31" ht="15" customHeight="1">
      <c r="A3" s="518"/>
      <c r="B3" s="518"/>
      <c r="C3" s="518"/>
      <c r="D3" s="518"/>
      <c r="E3" s="518"/>
      <c r="F3" s="518"/>
      <c r="G3" s="518"/>
      <c r="H3" s="518"/>
      <c r="I3" s="518"/>
      <c r="J3" s="518"/>
      <c r="K3" s="518"/>
      <c r="L3" s="518"/>
    </row>
    <row r="4" spans="1:31" ht="15" customHeight="1">
      <c r="A4" s="518"/>
      <c r="B4" s="530" t="s">
        <v>908</v>
      </c>
      <c r="C4" s="530"/>
      <c r="D4" s="530"/>
      <c r="E4" s="530"/>
      <c r="F4" s="530"/>
      <c r="G4" s="518"/>
      <c r="H4" s="518"/>
      <c r="I4" s="518"/>
      <c r="J4" s="518"/>
      <c r="K4" s="518"/>
      <c r="L4" s="518"/>
    </row>
    <row r="5" spans="1:31" ht="15" customHeight="1">
      <c r="A5" s="518"/>
      <c r="B5" s="530" t="s">
        <v>912</v>
      </c>
      <c r="C5" s="530"/>
      <c r="D5" s="530"/>
      <c r="E5" s="530"/>
      <c r="F5" s="533" t="s">
        <v>913</v>
      </c>
      <c r="G5" s="534"/>
      <c r="H5" s="534"/>
      <c r="I5" s="534"/>
      <c r="J5" s="534"/>
      <c r="K5" s="534"/>
      <c r="L5" s="534"/>
    </row>
    <row r="6" spans="1:31" ht="15" customHeight="1">
      <c r="A6" s="518"/>
      <c r="B6" s="530"/>
      <c r="C6" s="530"/>
      <c r="D6" s="530" t="s">
        <v>914</v>
      </c>
      <c r="E6" s="530"/>
      <c r="F6" s="530"/>
      <c r="G6" s="518"/>
      <c r="H6" s="518"/>
      <c r="I6" s="518"/>
      <c r="J6" s="518"/>
      <c r="K6" s="518"/>
      <c r="L6" s="518"/>
    </row>
    <row r="7" spans="1:31" ht="15" customHeight="1">
      <c r="A7" s="518"/>
      <c r="B7" s="518"/>
      <c r="C7" s="518"/>
      <c r="D7" s="518"/>
      <c r="E7" s="518"/>
      <c r="F7" s="518"/>
      <c r="G7" s="518"/>
      <c r="H7" s="518"/>
      <c r="I7" s="518"/>
      <c r="J7" s="518"/>
      <c r="K7" s="518"/>
      <c r="L7" s="518"/>
    </row>
    <row r="8" spans="1:31" ht="15" customHeight="1">
      <c r="A8" s="518"/>
      <c r="B8" s="528" t="s">
        <v>946</v>
      </c>
      <c r="C8" s="518"/>
      <c r="D8" s="518"/>
      <c r="E8" s="518"/>
      <c r="F8" s="518"/>
      <c r="G8" s="518"/>
      <c r="H8" s="518"/>
      <c r="I8" s="518"/>
      <c r="J8" s="518"/>
      <c r="K8" s="518"/>
      <c r="L8" s="518"/>
    </row>
    <row r="9" spans="1:31" ht="15" customHeight="1">
      <c r="A9" s="518"/>
      <c r="B9" s="530" t="s">
        <v>947</v>
      </c>
      <c r="C9" s="530" t="s">
        <v>948</v>
      </c>
      <c r="D9" s="530" t="s">
        <v>934</v>
      </c>
      <c r="E9" s="518"/>
      <c r="F9" s="518"/>
      <c r="G9" s="518"/>
      <c r="H9" s="518"/>
      <c r="I9" s="518"/>
      <c r="J9" s="518"/>
      <c r="K9" s="518"/>
      <c r="L9" s="518"/>
    </row>
    <row r="10" spans="1:31" ht="15" customHeight="1">
      <c r="A10" s="518"/>
      <c r="B10" s="530" t="s">
        <v>949</v>
      </c>
      <c r="C10" s="530" t="s">
        <v>948</v>
      </c>
      <c r="D10" s="530" t="s">
        <v>935</v>
      </c>
      <c r="E10" s="518"/>
      <c r="F10" s="518"/>
      <c r="G10" s="518"/>
      <c r="H10" s="518"/>
      <c r="I10" s="518"/>
      <c r="J10" s="518"/>
      <c r="K10" s="518"/>
      <c r="L10" s="518"/>
    </row>
    <row r="11" spans="1:31" ht="15" customHeight="1">
      <c r="A11" s="518"/>
      <c r="B11" s="530"/>
      <c r="C11" s="530"/>
      <c r="D11" s="530" t="s">
        <v>866</v>
      </c>
      <c r="E11" s="518"/>
      <c r="F11" s="518"/>
      <c r="G11" s="518"/>
      <c r="H11" s="518"/>
      <c r="I11" s="518"/>
      <c r="J11" s="518"/>
      <c r="K11" s="518"/>
      <c r="L11" s="518"/>
    </row>
    <row r="12" spans="1:31" ht="15" customHeight="1">
      <c r="A12" s="518"/>
      <c r="B12" s="530"/>
      <c r="C12" s="530"/>
      <c r="D12" s="530" t="s">
        <v>950</v>
      </c>
      <c r="E12" s="518"/>
      <c r="F12" s="518"/>
      <c r="G12" s="518"/>
      <c r="H12" s="518"/>
      <c r="I12" s="518"/>
      <c r="J12" s="518"/>
      <c r="K12" s="518"/>
      <c r="L12" s="518"/>
    </row>
    <row r="13" spans="1:31" ht="15" customHeight="1">
      <c r="A13" s="518"/>
      <c r="B13" s="535" t="s">
        <v>998</v>
      </c>
      <c r="C13" s="530" t="s">
        <v>952</v>
      </c>
      <c r="D13" s="530" t="s">
        <v>867</v>
      </c>
      <c r="E13" s="518"/>
      <c r="F13" s="518"/>
      <c r="G13" s="518"/>
      <c r="H13" s="518"/>
      <c r="I13" s="518"/>
      <c r="J13" s="518"/>
      <c r="K13" s="518"/>
      <c r="L13" s="518"/>
    </row>
    <row r="14" spans="1:31" ht="15" customHeight="1">
      <c r="A14" s="518"/>
      <c r="B14" s="530" t="s">
        <v>951</v>
      </c>
      <c r="C14" s="530" t="s">
        <v>952</v>
      </c>
      <c r="D14" s="530" t="s">
        <v>953</v>
      </c>
      <c r="E14" s="518"/>
      <c r="F14" s="518"/>
      <c r="G14" s="518"/>
      <c r="H14" s="518"/>
      <c r="I14" s="518"/>
      <c r="J14" s="518"/>
      <c r="K14" s="518"/>
      <c r="L14" s="518"/>
    </row>
    <row r="15" spans="1:31" ht="15" customHeight="1">
      <c r="A15" s="518"/>
      <c r="B15" s="535" t="s">
        <v>921</v>
      </c>
      <c r="C15" s="530" t="s">
        <v>952</v>
      </c>
      <c r="D15" s="530" t="s">
        <v>868</v>
      </c>
      <c r="E15" s="518"/>
      <c r="F15" s="518"/>
      <c r="G15" s="518"/>
      <c r="H15" s="518"/>
      <c r="I15" s="518"/>
      <c r="J15" s="518"/>
      <c r="K15" s="518"/>
      <c r="L15" s="518"/>
    </row>
    <row r="16" spans="1:31" ht="15" customHeight="1">
      <c r="A16" s="518"/>
      <c r="B16" s="535" t="s">
        <v>927</v>
      </c>
      <c r="C16" s="530" t="s">
        <v>952</v>
      </c>
      <c r="D16" s="530" t="s">
        <v>869</v>
      </c>
      <c r="E16" s="518"/>
      <c r="F16" s="518"/>
      <c r="G16" s="518"/>
      <c r="H16" s="518"/>
      <c r="I16" s="518"/>
      <c r="J16" s="518"/>
      <c r="K16" s="518"/>
      <c r="L16" s="518"/>
    </row>
    <row r="17" spans="1:13" ht="15" customHeight="1">
      <c r="A17" s="518"/>
      <c r="B17" s="535" t="s">
        <v>928</v>
      </c>
      <c r="C17" s="530" t="s">
        <v>952</v>
      </c>
      <c r="D17" s="530" t="s">
        <v>870</v>
      </c>
      <c r="E17" s="518"/>
      <c r="F17" s="518"/>
      <c r="G17" s="518"/>
      <c r="H17" s="518"/>
      <c r="I17" s="518"/>
      <c r="J17" s="518"/>
      <c r="K17" s="518"/>
      <c r="L17" s="518"/>
    </row>
    <row r="18" spans="1:13" ht="15" customHeight="1">
      <c r="A18" s="518"/>
      <c r="B18" s="535" t="s">
        <v>905</v>
      </c>
      <c r="C18" s="530" t="s">
        <v>952</v>
      </c>
      <c r="D18" s="530" t="s">
        <v>871</v>
      </c>
      <c r="E18" s="518"/>
      <c r="F18" s="518"/>
      <c r="G18" s="518"/>
      <c r="H18" s="518"/>
      <c r="I18" s="518"/>
      <c r="J18" s="518"/>
      <c r="K18" s="518"/>
      <c r="L18" s="518"/>
    </row>
    <row r="19" spans="1:13" ht="15" customHeight="1">
      <c r="A19" s="518"/>
      <c r="B19" s="529"/>
      <c r="C19" s="518"/>
      <c r="D19" s="518"/>
      <c r="E19" s="518"/>
      <c r="F19" s="518"/>
      <c r="G19" s="518"/>
      <c r="H19" s="518"/>
      <c r="I19" s="518"/>
      <c r="J19" s="518"/>
      <c r="K19" s="518"/>
      <c r="L19" s="518"/>
    </row>
    <row r="20" spans="1:13" ht="24.75" customHeight="1">
      <c r="A20" s="530"/>
      <c r="B20" s="963" t="s">
        <v>751</v>
      </c>
      <c r="C20" s="964"/>
      <c r="D20" s="964"/>
      <c r="E20" s="964"/>
      <c r="F20" s="964"/>
      <c r="G20" s="964"/>
      <c r="H20" s="964"/>
      <c r="I20" s="964"/>
      <c r="J20" s="964"/>
      <c r="K20" s="964"/>
      <c r="L20" s="965"/>
      <c r="M20" s="574"/>
    </row>
    <row r="21" spans="1:13" ht="17.25" customHeight="1">
      <c r="A21" s="530"/>
      <c r="B21" s="586"/>
      <c r="C21" s="539"/>
      <c r="D21" s="539"/>
      <c r="E21" s="539"/>
      <c r="F21" s="539"/>
      <c r="G21" s="576"/>
      <c r="H21" s="576"/>
      <c r="I21" s="617" t="s">
        <v>1385</v>
      </c>
      <c r="J21" s="539"/>
      <c r="K21" s="539"/>
      <c r="L21" s="619" t="s">
        <v>1380</v>
      </c>
      <c r="M21" s="574"/>
    </row>
    <row r="22" spans="1:13" ht="34.5" customHeight="1">
      <c r="A22" s="518"/>
      <c r="B22" s="536" t="s">
        <v>816</v>
      </c>
      <c r="C22" s="576"/>
      <c r="D22" s="530"/>
      <c r="E22" s="530" t="s">
        <v>1385</v>
      </c>
      <c r="F22" s="530"/>
      <c r="G22" s="576"/>
      <c r="H22" s="576"/>
      <c r="I22" s="617" t="s">
        <v>1386</v>
      </c>
      <c r="J22" s="530"/>
      <c r="K22" s="530"/>
      <c r="L22" s="620" t="s">
        <v>1384</v>
      </c>
    </row>
    <row r="23" spans="1:13" ht="27" customHeight="1">
      <c r="A23" s="518"/>
      <c r="B23" s="536"/>
      <c r="C23" s="530"/>
      <c r="D23" s="530"/>
      <c r="E23" s="530"/>
      <c r="F23" s="530"/>
      <c r="G23" s="530"/>
      <c r="H23" s="530"/>
      <c r="I23" s="617" t="s">
        <v>1387</v>
      </c>
      <c r="J23" s="530"/>
      <c r="K23" s="530"/>
      <c r="L23" s="576" t="s">
        <v>1381</v>
      </c>
    </row>
    <row r="24" spans="1:13" ht="15" customHeight="1">
      <c r="A24" s="518"/>
      <c r="B24" s="582" t="s">
        <v>1382</v>
      </c>
      <c r="C24" s="583"/>
      <c r="D24" s="583"/>
      <c r="E24" s="583"/>
      <c r="F24" s="583"/>
      <c r="G24" s="583"/>
      <c r="H24" s="583"/>
      <c r="I24" s="583"/>
      <c r="J24" s="583"/>
      <c r="K24" s="583"/>
      <c r="L24" s="584"/>
    </row>
    <row r="25" spans="1:13" ht="18" customHeight="1">
      <c r="A25" s="518"/>
      <c r="B25" s="576" t="s">
        <v>833</v>
      </c>
      <c r="C25" s="530"/>
      <c r="D25" s="530"/>
      <c r="E25" s="530"/>
      <c r="F25" s="530"/>
      <c r="G25" s="530"/>
      <c r="H25" s="530"/>
      <c r="I25" s="530"/>
      <c r="J25" s="530"/>
      <c r="K25" s="530"/>
      <c r="L25" s="530"/>
    </row>
    <row r="26" spans="1:13" ht="15" customHeight="1">
      <c r="A26" s="518"/>
      <c r="B26" s="530" t="s">
        <v>891</v>
      </c>
      <c r="C26" s="530"/>
      <c r="D26" s="530"/>
      <c r="E26" s="530"/>
      <c r="F26" s="530"/>
      <c r="G26" s="530"/>
      <c r="H26" s="530"/>
      <c r="I26" s="530"/>
      <c r="J26" s="530"/>
      <c r="K26" s="530"/>
      <c r="L26" s="530"/>
    </row>
    <row r="27" spans="1:13" ht="15" customHeight="1">
      <c r="A27" s="518"/>
      <c r="B27" s="530" t="s">
        <v>892</v>
      </c>
      <c r="C27" s="530"/>
      <c r="D27" s="530"/>
      <c r="E27" s="530"/>
      <c r="F27" s="530"/>
      <c r="G27" s="530"/>
      <c r="H27" s="530"/>
      <c r="I27" s="530"/>
      <c r="J27" s="530"/>
      <c r="K27" s="530"/>
      <c r="L27" s="530"/>
    </row>
    <row r="28" spans="1:13" ht="15" customHeight="1">
      <c r="A28" s="518"/>
      <c r="B28" s="530"/>
      <c r="C28" s="530"/>
      <c r="D28" s="530"/>
      <c r="E28" s="530"/>
      <c r="F28" s="530"/>
      <c r="G28" s="530"/>
      <c r="H28" s="530"/>
      <c r="I28" s="530"/>
      <c r="J28" s="530"/>
      <c r="K28" s="530"/>
      <c r="L28" s="530"/>
    </row>
    <row r="29" spans="1:13" ht="15" customHeight="1">
      <c r="A29" s="518"/>
      <c r="B29" s="530" t="s">
        <v>893</v>
      </c>
      <c r="C29" s="530"/>
      <c r="D29" s="530"/>
      <c r="E29" s="530"/>
      <c r="F29" s="530"/>
      <c r="G29" s="530" t="s">
        <v>994</v>
      </c>
      <c r="H29" s="530"/>
      <c r="I29" s="530"/>
      <c r="J29" s="530"/>
      <c r="K29" s="530"/>
      <c r="L29" s="530"/>
    </row>
    <row r="30" spans="1:13" ht="15" customHeight="1">
      <c r="A30" s="518"/>
      <c r="B30" s="530"/>
      <c r="C30" s="530"/>
      <c r="D30" s="530"/>
      <c r="E30" s="530"/>
      <c r="F30" s="530"/>
      <c r="G30" s="530"/>
      <c r="H30" s="530"/>
      <c r="I30" s="530"/>
      <c r="J30" s="530"/>
      <c r="K30" s="530"/>
      <c r="L30" s="530"/>
    </row>
    <row r="31" spans="1:13" s="574" customFormat="1" ht="25.5" customHeight="1">
      <c r="A31" s="530"/>
      <c r="B31" s="576" t="s">
        <v>1329</v>
      </c>
      <c r="C31" s="530"/>
      <c r="D31" s="2996"/>
      <c r="E31" s="2976"/>
      <c r="F31" s="2977"/>
      <c r="G31" s="530"/>
      <c r="H31" s="530"/>
      <c r="I31" s="530"/>
      <c r="J31" s="530"/>
      <c r="K31" s="530"/>
      <c r="L31" s="576" t="s">
        <v>1330</v>
      </c>
    </row>
    <row r="32" spans="1:13" s="574" customFormat="1" ht="10.5" customHeight="1">
      <c r="A32" s="530"/>
      <c r="B32" s="576"/>
      <c r="C32" s="530"/>
      <c r="D32" s="576"/>
      <c r="E32" s="576"/>
      <c r="F32" s="576"/>
      <c r="G32" s="576"/>
      <c r="H32" s="576"/>
      <c r="I32" s="576"/>
      <c r="J32" s="530"/>
      <c r="K32" s="530"/>
      <c r="L32" s="576"/>
    </row>
    <row r="33" spans="1:31" ht="15" customHeight="1">
      <c r="A33" s="518"/>
      <c r="B33" s="536"/>
      <c r="C33" s="530"/>
      <c r="D33" s="536" t="s">
        <v>995</v>
      </c>
      <c r="E33" s="530"/>
      <c r="F33" s="530"/>
      <c r="G33" s="530"/>
      <c r="H33" s="536" t="s">
        <v>996</v>
      </c>
      <c r="I33" s="530"/>
      <c r="J33" s="530"/>
      <c r="K33" s="530"/>
      <c r="L33" s="530"/>
    </row>
    <row r="34" spans="1:31" ht="15" customHeight="1">
      <c r="A34" s="518"/>
      <c r="B34" s="537"/>
      <c r="C34" s="535"/>
      <c r="D34" s="530"/>
      <c r="E34" s="530"/>
      <c r="F34" s="530"/>
      <c r="G34" s="530"/>
      <c r="H34" s="530"/>
      <c r="I34" s="530"/>
      <c r="J34" s="530"/>
      <c r="K34" s="530"/>
      <c r="L34" s="530"/>
    </row>
    <row r="35" spans="1:31" ht="15" customHeight="1">
      <c r="A35" s="518"/>
      <c r="B35" s="537"/>
      <c r="C35" s="538" t="s">
        <v>917</v>
      </c>
      <c r="D35" s="2975" t="s">
        <v>872</v>
      </c>
      <c r="E35" s="2976"/>
      <c r="F35" s="2977"/>
      <c r="G35" s="530"/>
      <c r="H35" s="2960" t="s">
        <v>872</v>
      </c>
      <c r="I35" s="2961"/>
      <c r="J35" s="2962"/>
      <c r="K35" s="530"/>
      <c r="L35" s="530"/>
      <c r="N35" s="634" t="s">
        <v>1321</v>
      </c>
      <c r="O35" s="626"/>
      <c r="P35" s="627"/>
      <c r="Q35" s="626"/>
      <c r="R35" s="626"/>
      <c r="S35" s="626"/>
      <c r="T35" s="626"/>
      <c r="U35" s="626"/>
      <c r="V35" s="626"/>
      <c r="W35" s="629"/>
      <c r="X35" s="626"/>
      <c r="Y35" s="626"/>
      <c r="Z35" s="626"/>
      <c r="AA35" s="629"/>
      <c r="AB35" s="626"/>
      <c r="AC35" s="626"/>
      <c r="AD35" s="626"/>
      <c r="AE35" s="626"/>
    </row>
    <row r="36" spans="1:31" ht="15" customHeight="1">
      <c r="A36" s="518"/>
      <c r="B36" s="530"/>
      <c r="C36" s="538" t="s">
        <v>873</v>
      </c>
      <c r="D36" s="2975" t="s">
        <v>874</v>
      </c>
      <c r="E36" s="2976"/>
      <c r="F36" s="2977"/>
      <c r="G36" s="530"/>
      <c r="H36" s="2980" t="s">
        <v>875</v>
      </c>
      <c r="I36" s="2981"/>
      <c r="J36" s="2982"/>
      <c r="K36" s="530"/>
      <c r="L36" s="530"/>
      <c r="N36" s="635"/>
      <c r="O36" s="530"/>
      <c r="P36" s="539"/>
      <c r="Q36" s="530"/>
      <c r="R36" s="530"/>
      <c r="S36" s="530"/>
      <c r="T36" s="530"/>
      <c r="U36" s="530"/>
      <c r="V36" s="530"/>
      <c r="W36" s="624"/>
      <c r="X36" s="530"/>
      <c r="Y36" s="530"/>
      <c r="Z36" s="530"/>
      <c r="AA36" s="624"/>
      <c r="AB36" s="530"/>
      <c r="AC36" s="530"/>
      <c r="AD36" s="530"/>
      <c r="AE36" s="638" t="s">
        <v>1323</v>
      </c>
    </row>
    <row r="37" spans="1:31" ht="15" customHeight="1">
      <c r="A37" s="518"/>
      <c r="B37" s="537"/>
      <c r="C37" s="535"/>
      <c r="D37" s="530"/>
      <c r="E37" s="530"/>
      <c r="F37" s="530"/>
      <c r="G37" s="530"/>
      <c r="H37" s="530"/>
      <c r="I37" s="530"/>
      <c r="J37" s="530"/>
      <c r="K37" s="530"/>
      <c r="L37" s="530"/>
      <c r="N37" s="636" t="s">
        <v>1317</v>
      </c>
      <c r="O37" s="530"/>
      <c r="P37" s="539"/>
      <c r="Q37" s="530"/>
      <c r="R37" s="530"/>
      <c r="S37" s="530"/>
      <c r="T37" s="530"/>
      <c r="U37" s="530"/>
      <c r="V37" s="530"/>
      <c r="W37" s="624"/>
      <c r="X37" s="530"/>
      <c r="Y37" s="530"/>
      <c r="Z37" s="530"/>
      <c r="AA37" s="624"/>
      <c r="AB37" s="530"/>
      <c r="AC37" s="530"/>
      <c r="AD37" s="530"/>
      <c r="AE37" s="530"/>
    </row>
    <row r="38" spans="1:31" ht="15" customHeight="1">
      <c r="A38" s="518"/>
      <c r="B38" s="537" t="s">
        <v>997</v>
      </c>
      <c r="C38" s="535"/>
      <c r="D38" s="530"/>
      <c r="E38" s="530"/>
      <c r="F38" s="530"/>
      <c r="G38" s="530"/>
      <c r="H38" s="530"/>
      <c r="I38" s="530"/>
      <c r="J38" s="530"/>
      <c r="K38" s="530"/>
      <c r="L38" s="530"/>
      <c r="N38" s="624" t="s">
        <v>1315</v>
      </c>
      <c r="O38" s="530" t="s">
        <v>1391</v>
      </c>
      <c r="P38" s="2992" t="s">
        <v>1389</v>
      </c>
      <c r="Q38" s="2993"/>
      <c r="R38" s="2993"/>
      <c r="S38" s="2993"/>
      <c r="T38" s="2993"/>
      <c r="U38" s="2993"/>
      <c r="V38" s="2994"/>
      <c r="W38" s="624" t="s">
        <v>1390</v>
      </c>
      <c r="X38" s="2992" t="s">
        <v>1395</v>
      </c>
      <c r="Y38" s="2993"/>
      <c r="Z38" s="2993"/>
      <c r="AA38" s="2993"/>
      <c r="AB38" s="2993"/>
      <c r="AC38" s="2993"/>
      <c r="AD38" s="2994"/>
      <c r="AE38" s="530"/>
    </row>
    <row r="39" spans="1:31" ht="15" customHeight="1">
      <c r="A39" s="518"/>
      <c r="B39" s="537"/>
      <c r="C39" s="538" t="s">
        <v>876</v>
      </c>
      <c r="D39" s="2995" t="s">
        <v>1035</v>
      </c>
      <c r="E39" s="2976"/>
      <c r="F39" s="2977"/>
      <c r="G39" s="530"/>
      <c r="H39" s="2975" t="s">
        <v>877</v>
      </c>
      <c r="I39" s="2976"/>
      <c r="J39" s="2977"/>
      <c r="K39" s="530"/>
      <c r="L39" s="576" t="s">
        <v>1378</v>
      </c>
      <c r="N39" s="624" t="s">
        <v>1315</v>
      </c>
      <c r="O39" s="530" t="s">
        <v>1391</v>
      </c>
      <c r="P39" s="2992" t="s">
        <v>1392</v>
      </c>
      <c r="Q39" s="2993"/>
      <c r="R39" s="2994"/>
      <c r="S39" s="530" t="s">
        <v>1390</v>
      </c>
      <c r="T39" s="2992" t="s">
        <v>1398</v>
      </c>
      <c r="U39" s="2993"/>
      <c r="V39" s="2994"/>
      <c r="W39" s="624" t="s">
        <v>1390</v>
      </c>
      <c r="X39" s="2992" t="s">
        <v>1397</v>
      </c>
      <c r="Y39" s="2993"/>
      <c r="Z39" s="2994"/>
      <c r="AA39" s="624" t="s">
        <v>1390</v>
      </c>
      <c r="AB39" s="2992" t="s">
        <v>1314</v>
      </c>
      <c r="AC39" s="2993"/>
      <c r="AD39" s="2994"/>
      <c r="AE39" s="530"/>
    </row>
    <row r="40" spans="1:31" ht="25.5" customHeight="1">
      <c r="A40" s="518"/>
      <c r="B40" s="537"/>
      <c r="C40" s="538" t="s">
        <v>878</v>
      </c>
      <c r="D40" s="2995" t="s">
        <v>1035</v>
      </c>
      <c r="E40" s="2976"/>
      <c r="F40" s="2977"/>
      <c r="G40" s="530"/>
      <c r="H40" s="2975" t="s">
        <v>879</v>
      </c>
      <c r="I40" s="2976"/>
      <c r="J40" s="2977"/>
      <c r="K40" s="530"/>
      <c r="L40" s="618" t="s">
        <v>1379</v>
      </c>
      <c r="N40" s="624" t="s">
        <v>1315</v>
      </c>
      <c r="O40" s="530" t="s">
        <v>1391</v>
      </c>
      <c r="P40" s="624" t="s">
        <v>1394</v>
      </c>
      <c r="Q40" s="624" t="s">
        <v>1186</v>
      </c>
      <c r="R40" s="624" t="s">
        <v>1393</v>
      </c>
      <c r="S40" s="624" t="s">
        <v>1390</v>
      </c>
      <c r="T40" s="639" t="s">
        <v>1326</v>
      </c>
      <c r="U40" s="624" t="s">
        <v>1186</v>
      </c>
      <c r="V40" s="594" t="s">
        <v>1325</v>
      </c>
      <c r="W40" s="624" t="s">
        <v>1390</v>
      </c>
      <c r="X40" s="624" t="s">
        <v>1396</v>
      </c>
      <c r="Y40" s="624" t="s">
        <v>1186</v>
      </c>
      <c r="Z40" s="624" t="s">
        <v>1399</v>
      </c>
      <c r="AA40" s="624" t="s">
        <v>1390</v>
      </c>
      <c r="AB40" s="624" t="s">
        <v>1400</v>
      </c>
      <c r="AC40" s="624" t="s">
        <v>1186</v>
      </c>
      <c r="AD40" s="624" t="s">
        <v>1313</v>
      </c>
      <c r="AE40" s="530"/>
    </row>
    <row r="41" spans="1:31" ht="27" customHeight="1">
      <c r="A41" s="518"/>
      <c r="B41" s="530"/>
      <c r="C41" s="538" t="s">
        <v>998</v>
      </c>
      <c r="D41" s="540">
        <v>0</v>
      </c>
      <c r="E41" s="530" t="s">
        <v>999</v>
      </c>
      <c r="F41" s="530"/>
      <c r="G41" s="530"/>
      <c r="H41" s="540">
        <v>84</v>
      </c>
      <c r="I41" s="530" t="s">
        <v>999</v>
      </c>
      <c r="J41" s="530"/>
      <c r="K41" s="530"/>
      <c r="L41" s="621" t="s">
        <v>1388</v>
      </c>
      <c r="N41" s="624" t="s">
        <v>1315</v>
      </c>
      <c r="O41" s="530" t="s">
        <v>1391</v>
      </c>
      <c r="P41" s="540"/>
      <c r="Q41" s="530"/>
      <c r="R41" s="628">
        <v>0.47</v>
      </c>
      <c r="S41" s="530"/>
      <c r="T41" s="540"/>
      <c r="U41" s="530"/>
      <c r="V41" s="628">
        <v>0.47</v>
      </c>
      <c r="W41" s="624"/>
      <c r="X41" s="540"/>
      <c r="Y41" s="530"/>
      <c r="Z41" s="628">
        <v>0.5</v>
      </c>
      <c r="AA41" s="624"/>
      <c r="AB41" s="540"/>
      <c r="AC41" s="530"/>
      <c r="AD41" s="628">
        <v>0.4</v>
      </c>
      <c r="AE41" s="637" t="s">
        <v>1324</v>
      </c>
    </row>
    <row r="42" spans="1:31" ht="15" customHeight="1">
      <c r="A42" s="518"/>
      <c r="B42" s="537"/>
      <c r="C42" s="535"/>
      <c r="D42" s="530"/>
      <c r="E42" s="530"/>
      <c r="F42" s="530"/>
      <c r="G42" s="530"/>
      <c r="H42" s="530"/>
      <c r="I42" s="530"/>
      <c r="J42" s="530"/>
      <c r="K42" s="530"/>
      <c r="L42" s="530"/>
      <c r="N42" s="624"/>
      <c r="O42" s="530"/>
      <c r="P42" s="530"/>
      <c r="Q42" s="530"/>
      <c r="R42" s="530"/>
      <c r="S42" s="530"/>
      <c r="T42" s="530"/>
      <c r="U42" s="530"/>
      <c r="V42" s="530"/>
      <c r="W42" s="624"/>
      <c r="X42" s="530"/>
      <c r="Y42" s="530"/>
      <c r="Z42" s="530"/>
      <c r="AA42" s="624"/>
      <c r="AB42" s="530"/>
      <c r="AC42" s="530"/>
      <c r="AD42" s="530"/>
      <c r="AE42" s="530"/>
    </row>
    <row r="43" spans="1:31" ht="15" customHeight="1">
      <c r="A43" s="518"/>
      <c r="B43" s="537" t="s">
        <v>916</v>
      </c>
      <c r="C43" s="541"/>
      <c r="D43" s="530"/>
      <c r="E43" s="530"/>
      <c r="F43" s="530"/>
      <c r="G43" s="530"/>
      <c r="H43" s="530"/>
      <c r="I43" s="530"/>
      <c r="J43" s="530"/>
      <c r="K43" s="530"/>
      <c r="L43" s="530"/>
      <c r="N43" s="624" t="s">
        <v>1315</v>
      </c>
      <c r="O43" s="530" t="s">
        <v>1391</v>
      </c>
      <c r="P43" s="530">
        <f>P41*R41+T41*V41+X41*Z41+AB41*AD41</f>
        <v>0</v>
      </c>
      <c r="Q43" s="530"/>
      <c r="R43" s="576" t="s">
        <v>1316</v>
      </c>
      <c r="S43" s="530"/>
      <c r="T43" s="530"/>
      <c r="U43" s="576" t="s">
        <v>1318</v>
      </c>
      <c r="V43" s="530"/>
      <c r="W43" s="624"/>
      <c r="X43" s="530"/>
      <c r="Y43" s="530"/>
      <c r="Z43" s="530"/>
      <c r="AA43" s="624"/>
      <c r="AB43" s="530"/>
      <c r="AC43" s="530"/>
      <c r="AD43" s="530"/>
      <c r="AE43" s="530"/>
    </row>
    <row r="44" spans="1:31" ht="15" customHeight="1">
      <c r="A44" s="518"/>
      <c r="B44" s="542"/>
      <c r="C44" s="538" t="s">
        <v>917</v>
      </c>
      <c r="D44" s="2960" t="str">
        <f>D35</f>
        <v>Warm temperature moist</v>
      </c>
      <c r="E44" s="2961"/>
      <c r="F44" s="2962"/>
      <c r="G44" s="530"/>
      <c r="H44" s="2960" t="str">
        <f>D44</f>
        <v>Warm temperature moist</v>
      </c>
      <c r="I44" s="2961"/>
      <c r="J44" s="2962"/>
      <c r="K44" s="530"/>
      <c r="L44" s="530" t="s">
        <v>918</v>
      </c>
      <c r="N44" s="535"/>
      <c r="O44" s="530"/>
      <c r="P44" s="530"/>
      <c r="Q44" s="530"/>
      <c r="R44" s="530"/>
      <c r="S44" s="530"/>
      <c r="T44" s="530"/>
      <c r="U44" s="530"/>
      <c r="V44" s="530"/>
      <c r="W44" s="624"/>
      <c r="X44" s="530"/>
      <c r="Y44" s="530"/>
      <c r="Z44" s="530"/>
      <c r="AA44" s="624"/>
      <c r="AB44" s="530"/>
      <c r="AC44" s="530"/>
      <c r="AD44" s="530"/>
      <c r="AE44" s="530"/>
    </row>
    <row r="45" spans="1:31" ht="15" customHeight="1">
      <c r="A45" s="518"/>
      <c r="B45" s="530"/>
      <c r="C45" s="538" t="s">
        <v>919</v>
      </c>
      <c r="D45" s="2980" t="s">
        <v>880</v>
      </c>
      <c r="E45" s="2981"/>
      <c r="F45" s="2982"/>
      <c r="G45" s="530"/>
      <c r="H45" s="2960" t="str">
        <f>D45</f>
        <v>High activity clay</v>
      </c>
      <c r="I45" s="2961"/>
      <c r="J45" s="2962"/>
      <c r="K45" s="530"/>
      <c r="L45" s="530" t="s">
        <v>920</v>
      </c>
      <c r="N45" s="636" t="s">
        <v>1319</v>
      </c>
      <c r="O45" s="530"/>
      <c r="P45" s="539"/>
      <c r="Q45" s="530"/>
      <c r="R45" s="530"/>
      <c r="S45" s="530"/>
      <c r="T45" s="530"/>
      <c r="U45" s="530"/>
      <c r="V45" s="530"/>
      <c r="W45" s="624"/>
      <c r="X45" s="530"/>
      <c r="Y45" s="530"/>
      <c r="Z45" s="530"/>
      <c r="AA45" s="624"/>
      <c r="AB45" s="530"/>
      <c r="AC45" s="530"/>
      <c r="AD45" s="530"/>
      <c r="AE45" s="530"/>
    </row>
    <row r="46" spans="1:31" ht="15" customHeight="1">
      <c r="A46" s="518"/>
      <c r="B46" s="530"/>
      <c r="C46" s="538" t="s">
        <v>923</v>
      </c>
      <c r="D46" s="2975" t="s">
        <v>894</v>
      </c>
      <c r="E46" s="2976"/>
      <c r="F46" s="2977"/>
      <c r="G46" s="530"/>
      <c r="H46" s="2975" t="s">
        <v>924</v>
      </c>
      <c r="I46" s="2978"/>
      <c r="J46" s="2979"/>
      <c r="K46" s="530"/>
      <c r="L46" s="576" t="s">
        <v>889</v>
      </c>
      <c r="N46" s="624" t="s">
        <v>1315</v>
      </c>
      <c r="O46" s="530" t="s">
        <v>1391</v>
      </c>
      <c r="P46" s="2992" t="s">
        <v>1389</v>
      </c>
      <c r="Q46" s="2993"/>
      <c r="R46" s="2993"/>
      <c r="S46" s="2993"/>
      <c r="T46" s="2993"/>
      <c r="U46" s="2993"/>
      <c r="V46" s="2994"/>
      <c r="W46" s="624" t="s">
        <v>1390</v>
      </c>
      <c r="X46" s="2992" t="s">
        <v>1395</v>
      </c>
      <c r="Y46" s="2993"/>
      <c r="Z46" s="2993"/>
      <c r="AA46" s="2993"/>
      <c r="AB46" s="2993"/>
      <c r="AC46" s="2993"/>
      <c r="AD46" s="2994"/>
      <c r="AE46" s="530"/>
    </row>
    <row r="47" spans="1:31" ht="15" customHeight="1">
      <c r="A47" s="518"/>
      <c r="B47" s="530"/>
      <c r="C47" s="538" t="s">
        <v>926</v>
      </c>
      <c r="D47" s="2975" t="s">
        <v>895</v>
      </c>
      <c r="E47" s="2976"/>
      <c r="F47" s="2977"/>
      <c r="G47" s="530"/>
      <c r="H47" s="2975" t="s">
        <v>896</v>
      </c>
      <c r="I47" s="2978"/>
      <c r="J47" s="2979"/>
      <c r="K47" s="530"/>
      <c r="L47" s="576" t="s">
        <v>889</v>
      </c>
      <c r="N47" s="624" t="s">
        <v>1315</v>
      </c>
      <c r="O47" s="530" t="s">
        <v>1391</v>
      </c>
      <c r="P47" s="2992" t="s">
        <v>1392</v>
      </c>
      <c r="Q47" s="2993"/>
      <c r="R47" s="2994"/>
      <c r="S47" s="530" t="s">
        <v>1390</v>
      </c>
      <c r="T47" s="2992" t="s">
        <v>1398</v>
      </c>
      <c r="U47" s="2993"/>
      <c r="V47" s="2994"/>
      <c r="W47" s="624" t="s">
        <v>1390</v>
      </c>
      <c r="X47" s="2992" t="s">
        <v>1397</v>
      </c>
      <c r="Y47" s="2993"/>
      <c r="Z47" s="2994"/>
      <c r="AA47" s="624" t="s">
        <v>1390</v>
      </c>
      <c r="AB47" s="2992" t="s">
        <v>1314</v>
      </c>
      <c r="AC47" s="2993"/>
      <c r="AD47" s="2994"/>
      <c r="AE47" s="530"/>
    </row>
    <row r="48" spans="1:31" ht="15" customHeight="1">
      <c r="A48" s="518"/>
      <c r="B48" s="530"/>
      <c r="C48" s="541"/>
      <c r="D48" s="530"/>
      <c r="E48" s="530"/>
      <c r="F48" s="530"/>
      <c r="G48" s="530"/>
      <c r="H48" s="539"/>
      <c r="I48" s="539"/>
      <c r="J48" s="539"/>
      <c r="K48" s="530"/>
      <c r="L48" s="530"/>
      <c r="N48" s="624" t="s">
        <v>1315</v>
      </c>
      <c r="O48" s="530" t="s">
        <v>1391</v>
      </c>
      <c r="P48" s="624" t="s">
        <v>1394</v>
      </c>
      <c r="Q48" s="624" t="s">
        <v>1186</v>
      </c>
      <c r="R48" s="624" t="s">
        <v>1393</v>
      </c>
      <c r="S48" s="624" t="s">
        <v>1390</v>
      </c>
      <c r="T48" s="639" t="s">
        <v>1326</v>
      </c>
      <c r="U48" s="624" t="s">
        <v>1186</v>
      </c>
      <c r="V48" s="594" t="s">
        <v>1325</v>
      </c>
      <c r="W48" s="624" t="s">
        <v>1390</v>
      </c>
      <c r="X48" s="624" t="s">
        <v>1396</v>
      </c>
      <c r="Y48" s="624" t="s">
        <v>1186</v>
      </c>
      <c r="Z48" s="624" t="s">
        <v>1399</v>
      </c>
      <c r="AA48" s="624" t="s">
        <v>1390</v>
      </c>
      <c r="AB48" s="624" t="s">
        <v>1400</v>
      </c>
      <c r="AC48" s="624" t="s">
        <v>1186</v>
      </c>
      <c r="AD48" s="624" t="s">
        <v>1313</v>
      </c>
      <c r="AE48" s="530"/>
    </row>
    <row r="49" spans="1:31" ht="15" customHeight="1">
      <c r="A49" s="518"/>
      <c r="B49" s="530"/>
      <c r="C49" s="538" t="s">
        <v>921</v>
      </c>
      <c r="D49" s="540">
        <v>88</v>
      </c>
      <c r="E49" s="530" t="s">
        <v>999</v>
      </c>
      <c r="F49" s="530"/>
      <c r="G49" s="530"/>
      <c r="H49" s="539">
        <f>D49</f>
        <v>88</v>
      </c>
      <c r="I49" s="530" t="s">
        <v>999</v>
      </c>
      <c r="J49" s="539"/>
      <c r="K49" s="530"/>
      <c r="L49" s="530" t="s">
        <v>922</v>
      </c>
      <c r="N49" s="624" t="s">
        <v>1315</v>
      </c>
      <c r="O49" s="530" t="s">
        <v>1391</v>
      </c>
      <c r="P49" s="540"/>
      <c r="Q49" s="530"/>
      <c r="R49" s="628">
        <v>0.47</v>
      </c>
      <c r="S49" s="530"/>
      <c r="T49" s="540"/>
      <c r="U49" s="530"/>
      <c r="V49" s="628">
        <v>0.47</v>
      </c>
      <c r="W49" s="624"/>
      <c r="X49" s="540"/>
      <c r="Y49" s="530"/>
      <c r="Z49" s="628">
        <v>0.5</v>
      </c>
      <c r="AA49" s="624"/>
      <c r="AB49" s="540"/>
      <c r="AC49" s="530"/>
      <c r="AD49" s="628">
        <v>0.4</v>
      </c>
      <c r="AE49" s="530"/>
    </row>
    <row r="50" spans="1:31" ht="15" customHeight="1">
      <c r="A50" s="518"/>
      <c r="B50" s="530"/>
      <c r="C50" s="538" t="s">
        <v>927</v>
      </c>
      <c r="D50" s="540">
        <v>0.69</v>
      </c>
      <c r="E50" s="530"/>
      <c r="F50" s="530"/>
      <c r="G50" s="530"/>
      <c r="H50" s="540">
        <v>1</v>
      </c>
      <c r="I50" s="530"/>
      <c r="J50" s="530"/>
      <c r="K50" s="530"/>
      <c r="L50" s="530" t="s">
        <v>897</v>
      </c>
      <c r="N50" s="624"/>
      <c r="O50" s="530"/>
      <c r="P50" s="530"/>
      <c r="Q50" s="530"/>
      <c r="R50" s="530"/>
      <c r="S50" s="530"/>
      <c r="T50" s="530"/>
      <c r="U50" s="530"/>
      <c r="V50" s="530"/>
      <c r="W50" s="624"/>
      <c r="X50" s="530"/>
      <c r="Y50" s="530"/>
      <c r="Z50" s="530"/>
      <c r="AA50" s="624"/>
      <c r="AB50" s="530"/>
      <c r="AC50" s="530"/>
      <c r="AD50" s="530"/>
      <c r="AE50" s="530"/>
    </row>
    <row r="51" spans="1:31" ht="15" customHeight="1">
      <c r="A51" s="518"/>
      <c r="B51" s="530"/>
      <c r="C51" s="538" t="s">
        <v>928</v>
      </c>
      <c r="D51" s="543">
        <v>1</v>
      </c>
      <c r="E51" s="530"/>
      <c r="F51" s="530"/>
      <c r="G51" s="530"/>
      <c r="H51" s="543" t="s">
        <v>925</v>
      </c>
      <c r="I51" s="530"/>
      <c r="J51" s="530"/>
      <c r="K51" s="530"/>
      <c r="L51" s="530" t="s">
        <v>897</v>
      </c>
      <c r="N51" s="624" t="s">
        <v>1315</v>
      </c>
      <c r="O51" s="530" t="s">
        <v>1391</v>
      </c>
      <c r="P51" s="530">
        <f>P49*R49+T49*V49+X49*Z49+AB49*AD49</f>
        <v>0</v>
      </c>
      <c r="Q51" s="530"/>
      <c r="R51" s="576" t="s">
        <v>1316</v>
      </c>
      <c r="S51" s="530"/>
      <c r="T51" s="530"/>
      <c r="U51" s="576" t="s">
        <v>1320</v>
      </c>
      <c r="V51" s="530"/>
      <c r="W51" s="624"/>
      <c r="X51" s="530"/>
      <c r="Y51" s="530"/>
      <c r="Z51" s="530"/>
      <c r="AA51" s="624"/>
      <c r="AB51" s="530"/>
      <c r="AC51" s="530"/>
      <c r="AD51" s="530"/>
      <c r="AE51" s="530"/>
    </row>
    <row r="52" spans="1:31" ht="15" customHeight="1">
      <c r="A52" s="518"/>
      <c r="B52" s="530"/>
      <c r="C52" s="538" t="s">
        <v>905</v>
      </c>
      <c r="D52" s="543">
        <v>1.1100000000000001</v>
      </c>
      <c r="E52" s="530"/>
      <c r="F52" s="530"/>
      <c r="G52" s="530"/>
      <c r="H52" s="543" t="s">
        <v>925</v>
      </c>
      <c r="I52" s="530"/>
      <c r="J52" s="530"/>
      <c r="K52" s="530"/>
      <c r="L52" s="530" t="s">
        <v>897</v>
      </c>
      <c r="N52" s="535"/>
      <c r="O52" s="530"/>
      <c r="P52" s="530"/>
      <c r="Q52" s="530"/>
      <c r="R52" s="530"/>
      <c r="S52" s="530"/>
      <c r="T52" s="530"/>
      <c r="U52" s="530"/>
      <c r="V52" s="530"/>
      <c r="W52" s="624"/>
      <c r="X52" s="530"/>
      <c r="Y52" s="530"/>
      <c r="Z52" s="530"/>
      <c r="AA52" s="624"/>
      <c r="AB52" s="530"/>
      <c r="AC52" s="530"/>
      <c r="AD52" s="530"/>
      <c r="AE52" s="530"/>
    </row>
    <row r="53" spans="1:31" ht="15" customHeight="1">
      <c r="A53" s="518"/>
      <c r="B53" s="530"/>
      <c r="C53" s="530"/>
      <c r="D53" s="530"/>
      <c r="E53" s="530"/>
      <c r="F53" s="530"/>
      <c r="G53" s="530"/>
      <c r="H53" s="530"/>
      <c r="I53" s="530"/>
      <c r="J53" s="530"/>
      <c r="K53" s="530"/>
      <c r="L53" s="530"/>
      <c r="N53" s="636" t="s">
        <v>1322</v>
      </c>
      <c r="O53" s="530"/>
      <c r="P53" s="530"/>
      <c r="Q53" s="530"/>
      <c r="R53" s="530"/>
      <c r="S53" s="530"/>
      <c r="T53" s="530"/>
      <c r="U53" s="530"/>
      <c r="V53" s="530"/>
      <c r="W53" s="624"/>
      <c r="X53" s="530"/>
      <c r="Y53" s="530"/>
      <c r="Z53" s="530"/>
      <c r="AA53" s="624"/>
      <c r="AB53" s="530"/>
      <c r="AC53" s="530"/>
      <c r="AD53" s="530"/>
      <c r="AE53" s="530"/>
    </row>
    <row r="54" spans="1:31" ht="15" customHeight="1">
      <c r="A54" s="518"/>
      <c r="B54" s="536"/>
      <c r="C54" s="530"/>
      <c r="D54" s="530"/>
      <c r="E54" s="530"/>
      <c r="F54" s="530"/>
      <c r="G54" s="530"/>
      <c r="H54" s="530"/>
      <c r="I54" s="530"/>
      <c r="J54" s="530"/>
      <c r="K54" s="530"/>
      <c r="L54" s="530"/>
      <c r="N54" s="535"/>
      <c r="O54" s="530"/>
      <c r="P54" s="2983"/>
      <c r="Q54" s="2984"/>
      <c r="R54" s="2984"/>
      <c r="S54" s="2984"/>
      <c r="T54" s="2984"/>
      <c r="U54" s="2984"/>
      <c r="V54" s="2984"/>
      <c r="W54" s="2984"/>
      <c r="X54" s="2984"/>
      <c r="Y54" s="2984"/>
      <c r="Z54" s="2984"/>
      <c r="AA54" s="2984"/>
      <c r="AB54" s="2984"/>
      <c r="AC54" s="2984"/>
      <c r="AD54" s="2985"/>
      <c r="AE54" s="530"/>
    </row>
    <row r="55" spans="1:31" ht="15" customHeight="1">
      <c r="A55" s="518"/>
      <c r="B55" s="536" t="s">
        <v>907</v>
      </c>
      <c r="C55" s="530"/>
      <c r="D55" s="541" t="s">
        <v>909</v>
      </c>
      <c r="E55" s="544">
        <f>D41+(D49*D50*(IF(AND(D51&gt;0,D51&lt;1000),D51,1))*(IF(AND(D52&gt;0,D52&lt;1000),D52,1)))</f>
        <v>67.399200000000008</v>
      </c>
      <c r="F55" s="530" t="s">
        <v>999</v>
      </c>
      <c r="G55" s="530"/>
      <c r="H55" s="541" t="s">
        <v>910</v>
      </c>
      <c r="I55" s="544">
        <f>H41+(H49*H50*(IF(AND(H51&gt;0,H51&lt;1000),H51,1))*(IF(AND(H52&gt;0,H52&lt;1000),H52,1)))</f>
        <v>172</v>
      </c>
      <c r="J55" s="530" t="s">
        <v>999</v>
      </c>
      <c r="K55" s="530"/>
      <c r="L55" s="530"/>
      <c r="N55" s="535"/>
      <c r="O55" s="530"/>
      <c r="P55" s="2986"/>
      <c r="Q55" s="2987"/>
      <c r="R55" s="2987"/>
      <c r="S55" s="2987"/>
      <c r="T55" s="2987"/>
      <c r="U55" s="2987"/>
      <c r="V55" s="2987"/>
      <c r="W55" s="2987"/>
      <c r="X55" s="2987"/>
      <c r="Y55" s="2987"/>
      <c r="Z55" s="2987"/>
      <c r="AA55" s="2987"/>
      <c r="AB55" s="2987"/>
      <c r="AC55" s="2987"/>
      <c r="AD55" s="2988"/>
      <c r="AE55" s="530"/>
    </row>
    <row r="56" spans="1:31" ht="15" customHeight="1">
      <c r="A56" s="518"/>
      <c r="B56" s="595" t="s">
        <v>819</v>
      </c>
      <c r="C56" s="530"/>
      <c r="D56" s="596" t="s">
        <v>821</v>
      </c>
      <c r="E56" s="597">
        <f>('LUC (EnVer)'!I$55-'LUC (EnVer)'!E$55)*3.664/20</f>
        <v>19.162866560000001</v>
      </c>
      <c r="F56" s="576" t="s">
        <v>822</v>
      </c>
      <c r="G56" s="530"/>
      <c r="H56" s="530"/>
      <c r="I56" s="530"/>
      <c r="J56" s="530"/>
      <c r="K56" s="530"/>
      <c r="L56" s="530" t="s">
        <v>1376</v>
      </c>
      <c r="N56" s="535"/>
      <c r="O56" s="530"/>
      <c r="P56" s="2986"/>
      <c r="Q56" s="2987"/>
      <c r="R56" s="2987"/>
      <c r="S56" s="2987"/>
      <c r="T56" s="2987"/>
      <c r="U56" s="2987"/>
      <c r="V56" s="2987"/>
      <c r="W56" s="2987"/>
      <c r="X56" s="2987"/>
      <c r="Y56" s="2987"/>
      <c r="Z56" s="2987"/>
      <c r="AA56" s="2987"/>
      <c r="AB56" s="2987"/>
      <c r="AC56" s="2987"/>
      <c r="AD56" s="2988"/>
      <c r="AE56" s="530"/>
    </row>
    <row r="57" spans="1:31" ht="15" customHeight="1">
      <c r="A57" s="518"/>
      <c r="B57" s="530"/>
      <c r="C57" s="530"/>
      <c r="D57" s="530"/>
      <c r="E57" s="530"/>
      <c r="F57" s="530"/>
      <c r="G57" s="530"/>
      <c r="H57" s="530"/>
      <c r="I57" s="530"/>
      <c r="J57" s="530"/>
      <c r="K57" s="530"/>
      <c r="L57" s="530"/>
      <c r="N57" s="535"/>
      <c r="O57" s="530"/>
      <c r="P57" s="2989"/>
      <c r="Q57" s="2990"/>
      <c r="R57" s="2990"/>
      <c r="S57" s="2990"/>
      <c r="T57" s="2990"/>
      <c r="U57" s="2990"/>
      <c r="V57" s="2990"/>
      <c r="W57" s="2990"/>
      <c r="X57" s="2990"/>
      <c r="Y57" s="2990"/>
      <c r="Z57" s="2990"/>
      <c r="AA57" s="2990"/>
      <c r="AB57" s="2990"/>
      <c r="AC57" s="2990"/>
      <c r="AD57" s="2991"/>
      <c r="AE57" s="530"/>
    </row>
    <row r="58" spans="1:31" ht="15" customHeight="1">
      <c r="A58" s="518"/>
      <c r="B58" s="582" t="s">
        <v>1383</v>
      </c>
      <c r="C58" s="583"/>
      <c r="D58" s="583"/>
      <c r="E58" s="583"/>
      <c r="F58" s="583"/>
      <c r="G58" s="583"/>
      <c r="H58" s="583"/>
      <c r="I58" s="583"/>
      <c r="J58" s="583"/>
      <c r="K58" s="583"/>
      <c r="L58" s="584"/>
      <c r="N58" s="535"/>
      <c r="O58" s="530"/>
      <c r="P58" s="530"/>
      <c r="Q58" s="530"/>
      <c r="R58" s="530"/>
      <c r="S58" s="530"/>
      <c r="T58" s="530"/>
      <c r="U58" s="530"/>
      <c r="V58" s="530"/>
      <c r="W58" s="624"/>
      <c r="X58" s="530"/>
      <c r="Y58" s="530"/>
      <c r="Z58" s="530"/>
      <c r="AA58" s="624"/>
      <c r="AB58" s="530"/>
      <c r="AC58" s="530"/>
      <c r="AD58" s="530"/>
      <c r="AE58" s="530"/>
    </row>
    <row r="59" spans="1:31" ht="15" customHeight="1">
      <c r="A59" s="518"/>
      <c r="B59" s="576" t="s">
        <v>899</v>
      </c>
      <c r="C59" s="530"/>
      <c r="D59" s="541"/>
      <c r="E59" s="544"/>
      <c r="F59" s="530"/>
      <c r="G59" s="530"/>
      <c r="H59" s="541"/>
      <c r="I59" s="544"/>
      <c r="J59" s="530"/>
      <c r="K59" s="530"/>
      <c r="L59" s="530"/>
    </row>
    <row r="60" spans="1:31" ht="15" customHeight="1">
      <c r="A60" s="518"/>
      <c r="B60" s="576" t="s">
        <v>900</v>
      </c>
      <c r="C60" s="530"/>
      <c r="D60" s="541"/>
      <c r="E60" s="544"/>
      <c r="F60" s="530"/>
      <c r="G60" s="530"/>
      <c r="H60" s="541"/>
      <c r="I60" s="544"/>
      <c r="J60" s="530"/>
      <c r="K60" s="530"/>
      <c r="L60" s="530"/>
    </row>
    <row r="61" spans="1:31" ht="15" customHeight="1">
      <c r="A61" s="518"/>
      <c r="B61" s="536" t="s">
        <v>855</v>
      </c>
      <c r="C61" s="530"/>
      <c r="D61" s="541"/>
      <c r="E61" s="544"/>
      <c r="F61" s="530"/>
      <c r="G61" s="530"/>
      <c r="H61" s="541"/>
      <c r="I61" s="544"/>
      <c r="J61" s="530"/>
      <c r="K61" s="530"/>
      <c r="L61" s="530"/>
    </row>
    <row r="62" spans="1:31" ht="15" customHeight="1">
      <c r="A62" s="518"/>
      <c r="B62" s="589" t="s">
        <v>755</v>
      </c>
      <c r="C62" s="530"/>
      <c r="D62" s="2966"/>
      <c r="E62" s="2967"/>
      <c r="F62" s="2967"/>
      <c r="G62" s="2967"/>
      <c r="H62" s="2967"/>
      <c r="I62" s="2968"/>
      <c r="J62" s="602" t="s">
        <v>756</v>
      </c>
      <c r="K62" s="602" t="s">
        <v>757</v>
      </c>
      <c r="L62" s="602" t="s">
        <v>758</v>
      </c>
    </row>
    <row r="63" spans="1:31" ht="15" customHeight="1">
      <c r="A63" s="518"/>
      <c r="B63" s="576" t="s">
        <v>759</v>
      </c>
      <c r="C63" s="576"/>
      <c r="D63" s="2969"/>
      <c r="E63" s="2970"/>
      <c r="F63" s="2970"/>
      <c r="G63" s="2970"/>
      <c r="H63" s="2970"/>
      <c r="I63" s="2971"/>
      <c r="J63" s="530"/>
      <c r="K63" s="593" t="s">
        <v>902</v>
      </c>
      <c r="L63" s="576" t="s">
        <v>901</v>
      </c>
    </row>
    <row r="64" spans="1:31" ht="15" customHeight="1">
      <c r="A64" s="518"/>
      <c r="B64" s="576"/>
      <c r="C64" s="576"/>
      <c r="D64" s="2972"/>
      <c r="E64" s="2973"/>
      <c r="F64" s="2973"/>
      <c r="G64" s="2973"/>
      <c r="H64" s="2973"/>
      <c r="I64" s="2974"/>
      <c r="J64" s="530"/>
      <c r="K64" s="530"/>
      <c r="L64" s="576" t="s">
        <v>767</v>
      </c>
    </row>
    <row r="65" spans="1:12" ht="15" customHeight="1">
      <c r="A65" s="518"/>
      <c r="B65" s="576"/>
      <c r="C65" s="576"/>
      <c r="D65" s="2972"/>
      <c r="E65" s="2973"/>
      <c r="F65" s="2973"/>
      <c r="G65" s="2973"/>
      <c r="H65" s="2973"/>
      <c r="I65" s="2974"/>
      <c r="J65" s="530"/>
      <c r="K65" s="530"/>
      <c r="L65" s="576" t="s">
        <v>903</v>
      </c>
    </row>
    <row r="66" spans="1:12" ht="15" customHeight="1">
      <c r="A66" s="518"/>
      <c r="B66" s="576"/>
      <c r="C66" s="576"/>
      <c r="D66" s="2972"/>
      <c r="E66" s="2973"/>
      <c r="F66" s="2973"/>
      <c r="G66" s="2973"/>
      <c r="H66" s="2973"/>
      <c r="I66" s="2974"/>
      <c r="J66" s="530"/>
      <c r="K66" s="530"/>
      <c r="L66" s="530"/>
    </row>
    <row r="67" spans="1:12" ht="15" customHeight="1">
      <c r="A67" s="518"/>
      <c r="B67" s="576"/>
      <c r="C67" s="576"/>
      <c r="D67" s="2963"/>
      <c r="E67" s="2964"/>
      <c r="F67" s="2964"/>
      <c r="G67" s="2964"/>
      <c r="H67" s="2964"/>
      <c r="I67" s="2965"/>
      <c r="J67" s="530"/>
      <c r="K67" s="530"/>
      <c r="L67" s="530"/>
    </row>
    <row r="68" spans="1:12" ht="15" customHeight="1">
      <c r="A68" s="518"/>
      <c r="B68" s="536"/>
      <c r="C68" s="530"/>
      <c r="D68" s="541"/>
      <c r="E68" s="544"/>
      <c r="F68" s="530"/>
      <c r="G68" s="530"/>
      <c r="H68" s="541"/>
      <c r="I68" s="544"/>
      <c r="J68" s="530"/>
      <c r="K68" s="530"/>
      <c r="L68" s="530"/>
    </row>
    <row r="69" spans="1:12" ht="15" customHeight="1">
      <c r="A69" s="518"/>
      <c r="B69" s="592" t="s">
        <v>761</v>
      </c>
      <c r="C69" s="530"/>
      <c r="D69" s="541"/>
      <c r="E69" s="544"/>
      <c r="F69" s="530"/>
      <c r="G69" s="530"/>
      <c r="H69" s="541"/>
      <c r="I69" s="544"/>
      <c r="J69" s="530"/>
      <c r="K69" s="530"/>
      <c r="L69" s="530"/>
    </row>
    <row r="70" spans="1:12" ht="15" customHeight="1">
      <c r="A70" s="518"/>
      <c r="B70" s="576" t="s">
        <v>762</v>
      </c>
      <c r="C70" s="530"/>
      <c r="D70" s="541"/>
      <c r="E70" s="544"/>
      <c r="F70" s="530"/>
      <c r="G70" s="530"/>
      <c r="H70" s="541"/>
      <c r="I70" s="544"/>
      <c r="J70" s="530"/>
      <c r="K70" s="530"/>
      <c r="L70" s="530"/>
    </row>
    <row r="71" spans="1:12" ht="15" customHeight="1">
      <c r="A71" s="518"/>
      <c r="B71" s="536"/>
      <c r="C71" s="593" t="s">
        <v>763</v>
      </c>
      <c r="D71" s="541"/>
      <c r="E71" s="603"/>
      <c r="F71" s="530"/>
      <c r="G71" s="601" t="s">
        <v>747</v>
      </c>
      <c r="H71" s="601" t="s">
        <v>748</v>
      </c>
      <c r="I71" s="544"/>
      <c r="J71" s="530"/>
      <c r="K71" s="530"/>
      <c r="L71" s="530"/>
    </row>
    <row r="72" spans="1:12" ht="15" customHeight="1">
      <c r="A72" s="518"/>
      <c r="B72" s="536"/>
      <c r="C72" s="593" t="s">
        <v>766</v>
      </c>
      <c r="D72" s="541"/>
      <c r="E72" s="603"/>
      <c r="F72" s="530"/>
      <c r="G72" s="601" t="s">
        <v>747</v>
      </c>
      <c r="H72" s="601" t="s">
        <v>748</v>
      </c>
      <c r="I72" s="544"/>
      <c r="J72" s="530"/>
      <c r="K72" s="530"/>
      <c r="L72" s="530"/>
    </row>
    <row r="73" spans="1:12" ht="15" customHeight="1">
      <c r="A73" s="518"/>
      <c r="B73" s="536"/>
      <c r="C73" s="593" t="s">
        <v>764</v>
      </c>
      <c r="D73" s="541"/>
      <c r="E73" s="603"/>
      <c r="F73" s="530"/>
      <c r="G73" s="601" t="s">
        <v>747</v>
      </c>
      <c r="H73" s="601" t="s">
        <v>748</v>
      </c>
      <c r="I73" s="544"/>
      <c r="J73" s="530"/>
      <c r="K73" s="530"/>
      <c r="L73" s="530"/>
    </row>
    <row r="74" spans="1:12" ht="15" customHeight="1">
      <c r="A74" s="518"/>
      <c r="B74" s="536"/>
      <c r="C74" s="593" t="s">
        <v>765</v>
      </c>
      <c r="D74" s="541"/>
      <c r="E74" s="603"/>
      <c r="F74" s="530"/>
      <c r="G74" s="601" t="s">
        <v>747</v>
      </c>
      <c r="H74" s="601" t="s">
        <v>748</v>
      </c>
      <c r="I74" s="544"/>
      <c r="J74" s="530"/>
      <c r="K74" s="530"/>
      <c r="L74" s="530"/>
    </row>
    <row r="75" spans="1:12" ht="15" customHeight="1">
      <c r="A75" s="518"/>
      <c r="B75" s="536"/>
      <c r="C75" s="576"/>
      <c r="D75" s="541"/>
      <c r="E75" s="544"/>
      <c r="F75" s="530"/>
      <c r="G75" s="530"/>
      <c r="H75" s="541"/>
      <c r="I75" s="544"/>
      <c r="J75" s="530"/>
      <c r="K75" s="530"/>
      <c r="L75" s="530"/>
    </row>
    <row r="76" spans="1:12" ht="15" customHeight="1">
      <c r="A76" s="518"/>
      <c r="B76" s="536" t="s">
        <v>825</v>
      </c>
      <c r="C76" s="530"/>
      <c r="D76" s="594" t="s">
        <v>817</v>
      </c>
      <c r="E76" s="604"/>
      <c r="F76" s="530" t="s">
        <v>999</v>
      </c>
      <c r="G76" s="530"/>
      <c r="H76" s="594" t="s">
        <v>818</v>
      </c>
      <c r="I76" s="604"/>
      <c r="J76" s="530" t="s">
        <v>999</v>
      </c>
      <c r="K76" s="530"/>
      <c r="L76" s="576" t="s">
        <v>850</v>
      </c>
    </row>
    <row r="77" spans="1:12" ht="15" customHeight="1">
      <c r="A77" s="518"/>
      <c r="B77" s="536" t="s">
        <v>824</v>
      </c>
      <c r="C77" s="530"/>
      <c r="D77" s="594" t="s">
        <v>827</v>
      </c>
      <c r="E77" s="604"/>
      <c r="F77" s="530" t="s">
        <v>999</v>
      </c>
      <c r="G77" s="530"/>
      <c r="H77" s="594" t="s">
        <v>826</v>
      </c>
      <c r="I77" s="604"/>
      <c r="J77" s="530" t="s">
        <v>999</v>
      </c>
      <c r="K77" s="530"/>
      <c r="L77" s="576" t="s">
        <v>850</v>
      </c>
    </row>
    <row r="78" spans="1:12" ht="15" customHeight="1">
      <c r="A78" s="518"/>
      <c r="B78" s="536"/>
      <c r="C78" s="576"/>
      <c r="D78" s="541" t="s">
        <v>909</v>
      </c>
      <c r="E78" s="544">
        <f>E76+E77</f>
        <v>0</v>
      </c>
      <c r="F78" s="530" t="s">
        <v>999</v>
      </c>
      <c r="G78" s="530"/>
      <c r="H78" s="541" t="s">
        <v>910</v>
      </c>
      <c r="I78" s="544">
        <f>I76+I77</f>
        <v>0</v>
      </c>
      <c r="J78" s="530" t="s">
        <v>999</v>
      </c>
      <c r="K78" s="530"/>
      <c r="L78" s="530"/>
    </row>
    <row r="79" spans="1:12" ht="15" customHeight="1">
      <c r="A79" s="518"/>
      <c r="B79" s="536" t="s">
        <v>828</v>
      </c>
      <c r="C79" s="530"/>
      <c r="D79" s="578" t="s">
        <v>820</v>
      </c>
      <c r="E79" s="585">
        <f>(E78-I78)*3.664/20</f>
        <v>0</v>
      </c>
      <c r="F79" s="579" t="s">
        <v>746</v>
      </c>
      <c r="G79" s="530"/>
      <c r="H79" s="541"/>
      <c r="I79" s="544"/>
      <c r="J79" s="530"/>
      <c r="K79" s="530"/>
      <c r="L79" s="530" t="s">
        <v>1376</v>
      </c>
    </row>
    <row r="80" spans="1:12" ht="15" customHeight="1">
      <c r="A80" s="518"/>
      <c r="B80" s="536"/>
      <c r="C80" s="576"/>
      <c r="D80" s="541"/>
      <c r="E80" s="544"/>
      <c r="F80" s="530"/>
      <c r="G80" s="530"/>
      <c r="H80" s="541"/>
      <c r="I80" s="544"/>
      <c r="J80" s="530"/>
      <c r="K80" s="530"/>
      <c r="L80" s="530"/>
    </row>
    <row r="81" spans="1:12" ht="15" customHeight="1">
      <c r="A81" s="518"/>
      <c r="B81" s="536"/>
      <c r="C81" s="576"/>
      <c r="D81" s="541"/>
      <c r="E81" s="544"/>
      <c r="F81" s="530"/>
      <c r="G81" s="530"/>
      <c r="H81" s="541"/>
      <c r="I81" s="544"/>
      <c r="J81" s="530"/>
      <c r="K81" s="530"/>
      <c r="L81" s="530"/>
    </row>
    <row r="82" spans="1:12" ht="15" customHeight="1">
      <c r="A82" s="518"/>
      <c r="B82" s="658" t="s">
        <v>829</v>
      </c>
      <c r="C82" s="659"/>
      <c r="D82" s="659"/>
      <c r="E82" s="661" t="str">
        <f>IF(E22=I21,B24,IF(E22=I22,B58,IF(E22=I23,B58,B24)))</f>
        <v>Option 1. Default calculation (no actual and acurate data are available)</v>
      </c>
      <c r="F82" s="659"/>
      <c r="G82" s="659"/>
      <c r="H82" s="659"/>
      <c r="I82" s="664"/>
      <c r="J82" s="664">
        <f>IF(E22=I21,E56,IF(E22=I22,E79,IF(E22=I23,E79,E56)))</f>
        <v>19.162866560000001</v>
      </c>
      <c r="K82" s="663" t="s">
        <v>830</v>
      </c>
      <c r="L82" s="660"/>
    </row>
    <row r="83" spans="1:12" ht="15" customHeight="1">
      <c r="A83" s="518"/>
      <c r="B83" s="530"/>
      <c r="C83" s="530"/>
      <c r="D83" s="530"/>
      <c r="E83" s="530"/>
      <c r="F83" s="530"/>
      <c r="G83" s="530"/>
      <c r="H83" s="530"/>
      <c r="I83" s="530"/>
      <c r="J83" s="530"/>
      <c r="K83" s="530"/>
      <c r="L83" s="530"/>
    </row>
    <row r="84" spans="1:12" ht="15" customHeight="1">
      <c r="A84" s="518"/>
      <c r="B84" s="530"/>
      <c r="C84" s="530"/>
      <c r="D84" s="530"/>
      <c r="E84" s="530"/>
      <c r="F84" s="530"/>
      <c r="G84" s="530"/>
      <c r="H84" s="530"/>
      <c r="I84" s="530"/>
      <c r="J84" s="605"/>
      <c r="K84" s="530"/>
      <c r="L84" s="530"/>
    </row>
    <row r="85" spans="1:12">
      <c r="A85" s="518"/>
      <c r="B85" s="530"/>
      <c r="C85" s="530"/>
      <c r="D85" s="530"/>
      <c r="E85" s="530"/>
      <c r="F85" s="530"/>
      <c r="G85" s="530"/>
      <c r="H85" s="530"/>
      <c r="I85" s="530"/>
      <c r="J85" s="530"/>
      <c r="K85" s="530"/>
      <c r="L85" s="530"/>
    </row>
    <row r="86" spans="1:12">
      <c r="A86" s="2"/>
      <c r="B86" s="574"/>
      <c r="C86" s="574"/>
      <c r="D86" s="574"/>
      <c r="E86" s="574"/>
      <c r="F86" s="574"/>
      <c r="G86" s="574"/>
      <c r="H86" s="574"/>
      <c r="I86" s="574"/>
      <c r="J86" s="574"/>
      <c r="K86" s="574"/>
      <c r="L86" s="574"/>
    </row>
    <row r="87" spans="1:12">
      <c r="A87" s="2"/>
      <c r="B87" s="2"/>
      <c r="C87" s="2"/>
      <c r="D87" s="2"/>
      <c r="E87" s="2"/>
      <c r="F87" s="2"/>
      <c r="G87" s="2"/>
      <c r="H87" s="2"/>
      <c r="I87" s="2"/>
      <c r="J87" s="2"/>
      <c r="K87" s="2"/>
      <c r="L87" s="2"/>
    </row>
    <row r="88" spans="1:12">
      <c r="A88" s="2"/>
      <c r="B88" s="2"/>
      <c r="C88" s="2"/>
      <c r="D88" s="2"/>
      <c r="E88" s="2"/>
      <c r="F88" s="2"/>
      <c r="G88" s="2"/>
      <c r="H88" s="2"/>
      <c r="I88" s="2"/>
      <c r="J88" s="2"/>
      <c r="K88" s="2"/>
      <c r="L88" s="2"/>
    </row>
    <row r="89" spans="1:12">
      <c r="A89" s="2"/>
      <c r="B89" s="2"/>
      <c r="C89" s="2"/>
      <c r="D89" s="2"/>
      <c r="E89" s="2"/>
      <c r="F89" s="2"/>
      <c r="G89" s="2"/>
      <c r="H89" s="2"/>
      <c r="I89" s="2"/>
      <c r="J89" s="2"/>
      <c r="K89" s="2"/>
      <c r="L89" s="2"/>
    </row>
    <row r="90" spans="1:12">
      <c r="A90" s="2"/>
      <c r="B90" s="2"/>
      <c r="C90" s="2"/>
      <c r="D90" s="2"/>
      <c r="E90" s="2"/>
      <c r="F90" s="2"/>
      <c r="G90" s="2"/>
      <c r="H90" s="2"/>
      <c r="I90" s="2"/>
      <c r="J90" s="2"/>
      <c r="K90" s="2"/>
      <c r="L90" s="2"/>
    </row>
    <row r="91" spans="1:12">
      <c r="A91" s="2"/>
      <c r="B91" s="2"/>
      <c r="C91" s="2"/>
      <c r="D91" s="2"/>
      <c r="E91" s="2"/>
      <c r="F91" s="2"/>
      <c r="G91" s="2"/>
      <c r="H91" s="2"/>
      <c r="I91" s="2"/>
      <c r="J91" s="2"/>
      <c r="K91" s="2"/>
      <c r="L91" s="2"/>
    </row>
    <row r="92" spans="1:12">
      <c r="A92" s="2"/>
      <c r="B92" s="2"/>
      <c r="C92" s="2"/>
      <c r="D92" s="2"/>
      <c r="E92" s="2"/>
      <c r="F92" s="2"/>
      <c r="G92" s="2"/>
      <c r="H92" s="2"/>
      <c r="I92" s="2"/>
      <c r="J92" s="2"/>
      <c r="K92" s="2"/>
      <c r="L92" s="2"/>
    </row>
    <row r="93" spans="1:12">
      <c r="A93" s="2"/>
      <c r="B93" s="2"/>
      <c r="C93" s="2"/>
      <c r="D93" s="2"/>
      <c r="E93" s="2"/>
      <c r="F93" s="2"/>
      <c r="G93" s="2"/>
      <c r="H93" s="2"/>
      <c r="I93" s="2"/>
      <c r="J93" s="2"/>
      <c r="K93" s="2"/>
      <c r="L93" s="2"/>
    </row>
    <row r="94" spans="1:12">
      <c r="A94" s="2"/>
      <c r="B94" s="2"/>
      <c r="C94" s="2"/>
      <c r="D94" s="2"/>
      <c r="E94" s="2"/>
      <c r="F94" s="2"/>
      <c r="G94" s="2"/>
      <c r="H94" s="2"/>
      <c r="I94" s="2"/>
      <c r="J94" s="2"/>
      <c r="K94" s="2"/>
      <c r="L94" s="2"/>
    </row>
    <row r="95" spans="1:12">
      <c r="A95" s="2"/>
      <c r="B95" s="2"/>
      <c r="C95" s="2"/>
      <c r="D95" s="2"/>
      <c r="E95" s="2"/>
      <c r="F95" s="2"/>
      <c r="G95" s="2"/>
      <c r="H95" s="2"/>
      <c r="I95" s="2"/>
      <c r="J95" s="2"/>
      <c r="K95" s="2"/>
      <c r="L95" s="2"/>
    </row>
    <row r="96" spans="1:12">
      <c r="A96" s="2"/>
      <c r="B96" s="2"/>
      <c r="C96" s="2"/>
      <c r="D96" s="2"/>
      <c r="E96" s="2"/>
      <c r="F96" s="2"/>
      <c r="G96" s="2"/>
      <c r="H96" s="2"/>
      <c r="I96" s="2"/>
      <c r="J96" s="2"/>
      <c r="K96" s="2"/>
      <c r="L96" s="2"/>
    </row>
  </sheetData>
  <customSheetViews>
    <customSheetView guid="{AD88818B-9F97-4B1E-9426-0DECE603685E}" scale="80" showGridLines="0" showRuler="0">
      <selection activeCell="L18" sqref="L18"/>
      <pageMargins left="0.7" right="0.7" top="0.75" bottom="0.75" header="0.3" footer="0.3"/>
      <headerFooter alignWithMargins="0"/>
    </customSheetView>
    <customSheetView guid="{7EB5D807-CE20-46E2-AEE6-2C193E010EA4}" scale="80" showGridLines="0" showRuler="0">
      <selection activeCell="L18" sqref="L18"/>
      <pageMargins left="0.7" right="0.7" top="0.75" bottom="0.75" header="0.3" footer="0.3"/>
      <headerFooter alignWithMargins="0"/>
    </customSheetView>
  </customSheetViews>
  <mergeCells count="36">
    <mergeCell ref="D40:F40"/>
    <mergeCell ref="H39:J39"/>
    <mergeCell ref="H40:J40"/>
    <mergeCell ref="D31:F31"/>
    <mergeCell ref="P38:V38"/>
    <mergeCell ref="D35:F35"/>
    <mergeCell ref="H35:J35"/>
    <mergeCell ref="X38:AD38"/>
    <mergeCell ref="P39:R39"/>
    <mergeCell ref="T39:V39"/>
    <mergeCell ref="H36:J36"/>
    <mergeCell ref="D39:F39"/>
    <mergeCell ref="X39:Z39"/>
    <mergeCell ref="AB39:AD39"/>
    <mergeCell ref="D36:F36"/>
    <mergeCell ref="P54:AD57"/>
    <mergeCell ref="X46:AD46"/>
    <mergeCell ref="P46:V46"/>
    <mergeCell ref="X47:Z47"/>
    <mergeCell ref="AB47:AD47"/>
    <mergeCell ref="T47:V47"/>
    <mergeCell ref="P47:R47"/>
    <mergeCell ref="D44:F44"/>
    <mergeCell ref="D67:I67"/>
    <mergeCell ref="D62:I62"/>
    <mergeCell ref="D63:I63"/>
    <mergeCell ref="D64:I64"/>
    <mergeCell ref="D65:I65"/>
    <mergeCell ref="D66:I66"/>
    <mergeCell ref="D46:F46"/>
    <mergeCell ref="D47:F47"/>
    <mergeCell ref="H46:J46"/>
    <mergeCell ref="H47:J47"/>
    <mergeCell ref="H44:J44"/>
    <mergeCell ref="H45:J45"/>
    <mergeCell ref="D45:F45"/>
  </mergeCells>
  <phoneticPr fontId="28" type="noConversion"/>
  <dataValidations count="5">
    <dataValidation type="list" allowBlank="1" showInputMessage="1" showErrorMessage="1" sqref="D62:I62">
      <formula1>$J$62:$L$62</formula1>
    </dataValidation>
    <dataValidation type="list" allowBlank="1" showInputMessage="1" showErrorMessage="1" sqref="E74">
      <formula1>$G$74:$H$74</formula1>
    </dataValidation>
    <dataValidation type="list" allowBlank="1" showInputMessage="1" showErrorMessage="1" sqref="E71">
      <formula1>$G$71:$H$71</formula1>
    </dataValidation>
    <dataValidation type="list" allowBlank="1" showInputMessage="1" showErrorMessage="1" sqref="E72">
      <formula1>$G$72:$H$72</formula1>
    </dataValidation>
    <dataValidation type="list" allowBlank="1" showInputMessage="1" showErrorMessage="1" sqref="E73">
      <formula1>$G$73:$H$73</formula1>
    </dataValidation>
  </dataValidations>
  <hyperlinks>
    <hyperlink ref="G5:L5" r:id="rId1" display="http://eur-lex.europa.eu/LexUriServ/LexUriServ.do?uri=OJ:L:2010:151:0019:0041:EN:PDF"/>
    <hyperlink ref="F5:K5" r:id="rId2" display="Commission Decision of 10 June 2010 on guidelines for the calculation of land use carbon stocks for the purpose of Annex V of Directive 2009/28/EC"/>
  </hyperlinks>
  <pageMargins left="0.75" right="0.75" top="1" bottom="1" header="0.5" footer="0.5"/>
  <headerFooter alignWithMargins="0"/>
  <drawing r:id="rId3"/>
  <legacyDrawing r:id="rId4"/>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sheetPr codeName="Лист5"/>
  <dimension ref="A1:Q90"/>
  <sheetViews>
    <sheetView zoomScaleNormal="100" zoomScalePageLayoutView="80" workbookViewId="0">
      <selection activeCell="N74" sqref="N74"/>
    </sheetView>
  </sheetViews>
  <sheetFormatPr defaultColWidth="9.140625" defaultRowHeight="15"/>
  <cols>
    <col min="1" max="1" width="2" style="1552" customWidth="1"/>
    <col min="2" max="2" width="22.7109375" style="1553" customWidth="1"/>
    <col min="3" max="3" width="20.85546875" style="1553" customWidth="1"/>
    <col min="4" max="4" width="11.42578125" style="1553" customWidth="1"/>
    <col min="5" max="5" width="12.85546875" style="1553" customWidth="1"/>
    <col min="6" max="6" width="11.42578125" style="1553" customWidth="1"/>
    <col min="7" max="7" width="5.7109375" style="1553" customWidth="1"/>
    <col min="8" max="10" width="11.42578125" style="1553" customWidth="1"/>
    <col min="11" max="11" width="5.7109375" style="1553" customWidth="1"/>
    <col min="12" max="12" width="90" style="1553" customWidth="1"/>
    <col min="13" max="17" width="9.140625" style="1557"/>
    <col min="18" max="256" width="9.140625" style="1552"/>
    <col min="257" max="257" width="2" style="1552" customWidth="1"/>
    <col min="258" max="258" width="18.140625" style="1552" customWidth="1"/>
    <col min="259" max="259" width="20.85546875" style="1552" customWidth="1"/>
    <col min="260" max="260" width="11.42578125" style="1552" customWidth="1"/>
    <col min="261" max="261" width="12.85546875" style="1552" customWidth="1"/>
    <col min="262" max="262" width="11.42578125" style="1552" customWidth="1"/>
    <col min="263" max="263" width="5.7109375" style="1552" customWidth="1"/>
    <col min="264" max="266" width="11.42578125" style="1552" customWidth="1"/>
    <col min="267" max="267" width="5.7109375" style="1552" customWidth="1"/>
    <col min="268" max="268" width="90" style="1552" customWidth="1"/>
    <col min="269" max="512" width="9.140625" style="1552"/>
    <col min="513" max="513" width="2" style="1552" customWidth="1"/>
    <col min="514" max="514" width="18.140625" style="1552" customWidth="1"/>
    <col min="515" max="515" width="20.85546875" style="1552" customWidth="1"/>
    <col min="516" max="516" width="11.42578125" style="1552" customWidth="1"/>
    <col min="517" max="517" width="12.85546875" style="1552" customWidth="1"/>
    <col min="518" max="518" width="11.42578125" style="1552" customWidth="1"/>
    <col min="519" max="519" width="5.7109375" style="1552" customWidth="1"/>
    <col min="520" max="522" width="11.42578125" style="1552" customWidth="1"/>
    <col min="523" max="523" width="5.7109375" style="1552" customWidth="1"/>
    <col min="524" max="524" width="90" style="1552" customWidth="1"/>
    <col min="525" max="768" width="9.140625" style="1552"/>
    <col min="769" max="769" width="2" style="1552" customWidth="1"/>
    <col min="770" max="770" width="18.140625" style="1552" customWidth="1"/>
    <col min="771" max="771" width="20.85546875" style="1552" customWidth="1"/>
    <col min="772" max="772" width="11.42578125" style="1552" customWidth="1"/>
    <col min="773" max="773" width="12.85546875" style="1552" customWidth="1"/>
    <col min="774" max="774" width="11.42578125" style="1552" customWidth="1"/>
    <col min="775" max="775" width="5.7109375" style="1552" customWidth="1"/>
    <col min="776" max="778" width="11.42578125" style="1552" customWidth="1"/>
    <col min="779" max="779" width="5.7109375" style="1552" customWidth="1"/>
    <col min="780" max="780" width="90" style="1552" customWidth="1"/>
    <col min="781" max="1024" width="9.140625" style="1552"/>
    <col min="1025" max="1025" width="2" style="1552" customWidth="1"/>
    <col min="1026" max="1026" width="18.140625" style="1552" customWidth="1"/>
    <col min="1027" max="1027" width="20.85546875" style="1552" customWidth="1"/>
    <col min="1028" max="1028" width="11.42578125" style="1552" customWidth="1"/>
    <col min="1029" max="1029" width="12.85546875" style="1552" customWidth="1"/>
    <col min="1030" max="1030" width="11.42578125" style="1552" customWidth="1"/>
    <col min="1031" max="1031" width="5.7109375" style="1552" customWidth="1"/>
    <col min="1032" max="1034" width="11.42578125" style="1552" customWidth="1"/>
    <col min="1035" max="1035" width="5.7109375" style="1552" customWidth="1"/>
    <col min="1036" max="1036" width="90" style="1552" customWidth="1"/>
    <col min="1037" max="1280" width="9.140625" style="1552"/>
    <col min="1281" max="1281" width="2" style="1552" customWidth="1"/>
    <col min="1282" max="1282" width="18.140625" style="1552" customWidth="1"/>
    <col min="1283" max="1283" width="20.85546875" style="1552" customWidth="1"/>
    <col min="1284" max="1284" width="11.42578125" style="1552" customWidth="1"/>
    <col min="1285" max="1285" width="12.85546875" style="1552" customWidth="1"/>
    <col min="1286" max="1286" width="11.42578125" style="1552" customWidth="1"/>
    <col min="1287" max="1287" width="5.7109375" style="1552" customWidth="1"/>
    <col min="1288" max="1290" width="11.42578125" style="1552" customWidth="1"/>
    <col min="1291" max="1291" width="5.7109375" style="1552" customWidth="1"/>
    <col min="1292" max="1292" width="90" style="1552" customWidth="1"/>
    <col min="1293" max="1536" width="9.140625" style="1552"/>
    <col min="1537" max="1537" width="2" style="1552" customWidth="1"/>
    <col min="1538" max="1538" width="18.140625" style="1552" customWidth="1"/>
    <col min="1539" max="1539" width="20.85546875" style="1552" customWidth="1"/>
    <col min="1540" max="1540" width="11.42578125" style="1552" customWidth="1"/>
    <col min="1541" max="1541" width="12.85546875" style="1552" customWidth="1"/>
    <col min="1542" max="1542" width="11.42578125" style="1552" customWidth="1"/>
    <col min="1543" max="1543" width="5.7109375" style="1552" customWidth="1"/>
    <col min="1544" max="1546" width="11.42578125" style="1552" customWidth="1"/>
    <col min="1547" max="1547" width="5.7109375" style="1552" customWidth="1"/>
    <col min="1548" max="1548" width="90" style="1552" customWidth="1"/>
    <col min="1549" max="1792" width="9.140625" style="1552"/>
    <col min="1793" max="1793" width="2" style="1552" customWidth="1"/>
    <col min="1794" max="1794" width="18.140625" style="1552" customWidth="1"/>
    <col min="1795" max="1795" width="20.85546875" style="1552" customWidth="1"/>
    <col min="1796" max="1796" width="11.42578125" style="1552" customWidth="1"/>
    <col min="1797" max="1797" width="12.85546875" style="1552" customWidth="1"/>
    <col min="1798" max="1798" width="11.42578125" style="1552" customWidth="1"/>
    <col min="1799" max="1799" width="5.7109375" style="1552" customWidth="1"/>
    <col min="1800" max="1802" width="11.42578125" style="1552" customWidth="1"/>
    <col min="1803" max="1803" width="5.7109375" style="1552" customWidth="1"/>
    <col min="1804" max="1804" width="90" style="1552" customWidth="1"/>
    <col min="1805" max="2048" width="9.140625" style="1552"/>
    <col min="2049" max="2049" width="2" style="1552" customWidth="1"/>
    <col min="2050" max="2050" width="18.140625" style="1552" customWidth="1"/>
    <col min="2051" max="2051" width="20.85546875" style="1552" customWidth="1"/>
    <col min="2052" max="2052" width="11.42578125" style="1552" customWidth="1"/>
    <col min="2053" max="2053" width="12.85546875" style="1552" customWidth="1"/>
    <col min="2054" max="2054" width="11.42578125" style="1552" customWidth="1"/>
    <col min="2055" max="2055" width="5.7109375" style="1552" customWidth="1"/>
    <col min="2056" max="2058" width="11.42578125" style="1552" customWidth="1"/>
    <col min="2059" max="2059" width="5.7109375" style="1552" customWidth="1"/>
    <col min="2060" max="2060" width="90" style="1552" customWidth="1"/>
    <col min="2061" max="2304" width="9.140625" style="1552"/>
    <col min="2305" max="2305" width="2" style="1552" customWidth="1"/>
    <col min="2306" max="2306" width="18.140625" style="1552" customWidth="1"/>
    <col min="2307" max="2307" width="20.85546875" style="1552" customWidth="1"/>
    <col min="2308" max="2308" width="11.42578125" style="1552" customWidth="1"/>
    <col min="2309" max="2309" width="12.85546875" style="1552" customWidth="1"/>
    <col min="2310" max="2310" width="11.42578125" style="1552" customWidth="1"/>
    <col min="2311" max="2311" width="5.7109375" style="1552" customWidth="1"/>
    <col min="2312" max="2314" width="11.42578125" style="1552" customWidth="1"/>
    <col min="2315" max="2315" width="5.7109375" style="1552" customWidth="1"/>
    <col min="2316" max="2316" width="90" style="1552" customWidth="1"/>
    <col min="2317" max="2560" width="9.140625" style="1552"/>
    <col min="2561" max="2561" width="2" style="1552" customWidth="1"/>
    <col min="2562" max="2562" width="18.140625" style="1552" customWidth="1"/>
    <col min="2563" max="2563" width="20.85546875" style="1552" customWidth="1"/>
    <col min="2564" max="2564" width="11.42578125" style="1552" customWidth="1"/>
    <col min="2565" max="2565" width="12.85546875" style="1552" customWidth="1"/>
    <col min="2566" max="2566" width="11.42578125" style="1552" customWidth="1"/>
    <col min="2567" max="2567" width="5.7109375" style="1552" customWidth="1"/>
    <col min="2568" max="2570" width="11.42578125" style="1552" customWidth="1"/>
    <col min="2571" max="2571" width="5.7109375" style="1552" customWidth="1"/>
    <col min="2572" max="2572" width="90" style="1552" customWidth="1"/>
    <col min="2573" max="2816" width="9.140625" style="1552"/>
    <col min="2817" max="2817" width="2" style="1552" customWidth="1"/>
    <col min="2818" max="2818" width="18.140625" style="1552" customWidth="1"/>
    <col min="2819" max="2819" width="20.85546875" style="1552" customWidth="1"/>
    <col min="2820" max="2820" width="11.42578125" style="1552" customWidth="1"/>
    <col min="2821" max="2821" width="12.85546875" style="1552" customWidth="1"/>
    <col min="2822" max="2822" width="11.42578125" style="1552" customWidth="1"/>
    <col min="2823" max="2823" width="5.7109375" style="1552" customWidth="1"/>
    <col min="2824" max="2826" width="11.42578125" style="1552" customWidth="1"/>
    <col min="2827" max="2827" width="5.7109375" style="1552" customWidth="1"/>
    <col min="2828" max="2828" width="90" style="1552" customWidth="1"/>
    <col min="2829" max="3072" width="9.140625" style="1552"/>
    <col min="3073" max="3073" width="2" style="1552" customWidth="1"/>
    <col min="3074" max="3074" width="18.140625" style="1552" customWidth="1"/>
    <col min="3075" max="3075" width="20.85546875" style="1552" customWidth="1"/>
    <col min="3076" max="3076" width="11.42578125" style="1552" customWidth="1"/>
    <col min="3077" max="3077" width="12.85546875" style="1552" customWidth="1"/>
    <col min="3078" max="3078" width="11.42578125" style="1552" customWidth="1"/>
    <col min="3079" max="3079" width="5.7109375" style="1552" customWidth="1"/>
    <col min="3080" max="3082" width="11.42578125" style="1552" customWidth="1"/>
    <col min="3083" max="3083" width="5.7109375" style="1552" customWidth="1"/>
    <col min="3084" max="3084" width="90" style="1552" customWidth="1"/>
    <col min="3085" max="3328" width="9.140625" style="1552"/>
    <col min="3329" max="3329" width="2" style="1552" customWidth="1"/>
    <col min="3330" max="3330" width="18.140625" style="1552" customWidth="1"/>
    <col min="3331" max="3331" width="20.85546875" style="1552" customWidth="1"/>
    <col min="3332" max="3332" width="11.42578125" style="1552" customWidth="1"/>
    <col min="3333" max="3333" width="12.85546875" style="1552" customWidth="1"/>
    <col min="3334" max="3334" width="11.42578125" style="1552" customWidth="1"/>
    <col min="3335" max="3335" width="5.7109375" style="1552" customWidth="1"/>
    <col min="3336" max="3338" width="11.42578125" style="1552" customWidth="1"/>
    <col min="3339" max="3339" width="5.7109375" style="1552" customWidth="1"/>
    <col min="3340" max="3340" width="90" style="1552" customWidth="1"/>
    <col min="3341" max="3584" width="9.140625" style="1552"/>
    <col min="3585" max="3585" width="2" style="1552" customWidth="1"/>
    <col min="3586" max="3586" width="18.140625" style="1552" customWidth="1"/>
    <col min="3587" max="3587" width="20.85546875" style="1552" customWidth="1"/>
    <col min="3588" max="3588" width="11.42578125" style="1552" customWidth="1"/>
    <col min="3589" max="3589" width="12.85546875" style="1552" customWidth="1"/>
    <col min="3590" max="3590" width="11.42578125" style="1552" customWidth="1"/>
    <col min="3591" max="3591" width="5.7109375" style="1552" customWidth="1"/>
    <col min="3592" max="3594" width="11.42578125" style="1552" customWidth="1"/>
    <col min="3595" max="3595" width="5.7109375" style="1552" customWidth="1"/>
    <col min="3596" max="3596" width="90" style="1552" customWidth="1"/>
    <col min="3597" max="3840" width="9.140625" style="1552"/>
    <col min="3841" max="3841" width="2" style="1552" customWidth="1"/>
    <col min="3842" max="3842" width="18.140625" style="1552" customWidth="1"/>
    <col min="3843" max="3843" width="20.85546875" style="1552" customWidth="1"/>
    <col min="3844" max="3844" width="11.42578125" style="1552" customWidth="1"/>
    <col min="3845" max="3845" width="12.85546875" style="1552" customWidth="1"/>
    <col min="3846" max="3846" width="11.42578125" style="1552" customWidth="1"/>
    <col min="3847" max="3847" width="5.7109375" style="1552" customWidth="1"/>
    <col min="3848" max="3850" width="11.42578125" style="1552" customWidth="1"/>
    <col min="3851" max="3851" width="5.7109375" style="1552" customWidth="1"/>
    <col min="3852" max="3852" width="90" style="1552" customWidth="1"/>
    <col min="3853" max="4096" width="9.140625" style="1552"/>
    <col min="4097" max="4097" width="2" style="1552" customWidth="1"/>
    <col min="4098" max="4098" width="18.140625" style="1552" customWidth="1"/>
    <col min="4099" max="4099" width="20.85546875" style="1552" customWidth="1"/>
    <col min="4100" max="4100" width="11.42578125" style="1552" customWidth="1"/>
    <col min="4101" max="4101" width="12.85546875" style="1552" customWidth="1"/>
    <col min="4102" max="4102" width="11.42578125" style="1552" customWidth="1"/>
    <col min="4103" max="4103" width="5.7109375" style="1552" customWidth="1"/>
    <col min="4104" max="4106" width="11.42578125" style="1552" customWidth="1"/>
    <col min="4107" max="4107" width="5.7109375" style="1552" customWidth="1"/>
    <col min="4108" max="4108" width="90" style="1552" customWidth="1"/>
    <col min="4109" max="4352" width="9.140625" style="1552"/>
    <col min="4353" max="4353" width="2" style="1552" customWidth="1"/>
    <col min="4354" max="4354" width="18.140625" style="1552" customWidth="1"/>
    <col min="4355" max="4355" width="20.85546875" style="1552" customWidth="1"/>
    <col min="4356" max="4356" width="11.42578125" style="1552" customWidth="1"/>
    <col min="4357" max="4357" width="12.85546875" style="1552" customWidth="1"/>
    <col min="4358" max="4358" width="11.42578125" style="1552" customWidth="1"/>
    <col min="4359" max="4359" width="5.7109375" style="1552" customWidth="1"/>
    <col min="4360" max="4362" width="11.42578125" style="1552" customWidth="1"/>
    <col min="4363" max="4363" width="5.7109375" style="1552" customWidth="1"/>
    <col min="4364" max="4364" width="90" style="1552" customWidth="1"/>
    <col min="4365" max="4608" width="9.140625" style="1552"/>
    <col min="4609" max="4609" width="2" style="1552" customWidth="1"/>
    <col min="4610" max="4610" width="18.140625" style="1552" customWidth="1"/>
    <col min="4611" max="4611" width="20.85546875" style="1552" customWidth="1"/>
    <col min="4612" max="4612" width="11.42578125" style="1552" customWidth="1"/>
    <col min="4613" max="4613" width="12.85546875" style="1552" customWidth="1"/>
    <col min="4614" max="4614" width="11.42578125" style="1552" customWidth="1"/>
    <col min="4615" max="4615" width="5.7109375" style="1552" customWidth="1"/>
    <col min="4616" max="4618" width="11.42578125" style="1552" customWidth="1"/>
    <col min="4619" max="4619" width="5.7109375" style="1552" customWidth="1"/>
    <col min="4620" max="4620" width="90" style="1552" customWidth="1"/>
    <col min="4621" max="4864" width="9.140625" style="1552"/>
    <col min="4865" max="4865" width="2" style="1552" customWidth="1"/>
    <col min="4866" max="4866" width="18.140625" style="1552" customWidth="1"/>
    <col min="4867" max="4867" width="20.85546875" style="1552" customWidth="1"/>
    <col min="4868" max="4868" width="11.42578125" style="1552" customWidth="1"/>
    <col min="4869" max="4869" width="12.85546875" style="1552" customWidth="1"/>
    <col min="4870" max="4870" width="11.42578125" style="1552" customWidth="1"/>
    <col min="4871" max="4871" width="5.7109375" style="1552" customWidth="1"/>
    <col min="4872" max="4874" width="11.42578125" style="1552" customWidth="1"/>
    <col min="4875" max="4875" width="5.7109375" style="1552" customWidth="1"/>
    <col min="4876" max="4876" width="90" style="1552" customWidth="1"/>
    <col min="4877" max="5120" width="9.140625" style="1552"/>
    <col min="5121" max="5121" width="2" style="1552" customWidth="1"/>
    <col min="5122" max="5122" width="18.140625" style="1552" customWidth="1"/>
    <col min="5123" max="5123" width="20.85546875" style="1552" customWidth="1"/>
    <col min="5124" max="5124" width="11.42578125" style="1552" customWidth="1"/>
    <col min="5125" max="5125" width="12.85546875" style="1552" customWidth="1"/>
    <col min="5126" max="5126" width="11.42578125" style="1552" customWidth="1"/>
    <col min="5127" max="5127" width="5.7109375" style="1552" customWidth="1"/>
    <col min="5128" max="5130" width="11.42578125" style="1552" customWidth="1"/>
    <col min="5131" max="5131" width="5.7109375" style="1552" customWidth="1"/>
    <col min="5132" max="5132" width="90" style="1552" customWidth="1"/>
    <col min="5133" max="5376" width="9.140625" style="1552"/>
    <col min="5377" max="5377" width="2" style="1552" customWidth="1"/>
    <col min="5378" max="5378" width="18.140625" style="1552" customWidth="1"/>
    <col min="5379" max="5379" width="20.85546875" style="1552" customWidth="1"/>
    <col min="5380" max="5380" width="11.42578125" style="1552" customWidth="1"/>
    <col min="5381" max="5381" width="12.85546875" style="1552" customWidth="1"/>
    <col min="5382" max="5382" width="11.42578125" style="1552" customWidth="1"/>
    <col min="5383" max="5383" width="5.7109375" style="1552" customWidth="1"/>
    <col min="5384" max="5386" width="11.42578125" style="1552" customWidth="1"/>
    <col min="5387" max="5387" width="5.7109375" style="1552" customWidth="1"/>
    <col min="5388" max="5388" width="90" style="1552" customWidth="1"/>
    <col min="5389" max="5632" width="9.140625" style="1552"/>
    <col min="5633" max="5633" width="2" style="1552" customWidth="1"/>
    <col min="5634" max="5634" width="18.140625" style="1552" customWidth="1"/>
    <col min="5635" max="5635" width="20.85546875" style="1552" customWidth="1"/>
    <col min="5636" max="5636" width="11.42578125" style="1552" customWidth="1"/>
    <col min="5637" max="5637" width="12.85546875" style="1552" customWidth="1"/>
    <col min="5638" max="5638" width="11.42578125" style="1552" customWidth="1"/>
    <col min="5639" max="5639" width="5.7109375" style="1552" customWidth="1"/>
    <col min="5640" max="5642" width="11.42578125" style="1552" customWidth="1"/>
    <col min="5643" max="5643" width="5.7109375" style="1552" customWidth="1"/>
    <col min="5644" max="5644" width="90" style="1552" customWidth="1"/>
    <col min="5645" max="5888" width="9.140625" style="1552"/>
    <col min="5889" max="5889" width="2" style="1552" customWidth="1"/>
    <col min="5890" max="5890" width="18.140625" style="1552" customWidth="1"/>
    <col min="5891" max="5891" width="20.85546875" style="1552" customWidth="1"/>
    <col min="5892" max="5892" width="11.42578125" style="1552" customWidth="1"/>
    <col min="5893" max="5893" width="12.85546875" style="1552" customWidth="1"/>
    <col min="5894" max="5894" width="11.42578125" style="1552" customWidth="1"/>
    <col min="5895" max="5895" width="5.7109375" style="1552" customWidth="1"/>
    <col min="5896" max="5898" width="11.42578125" style="1552" customWidth="1"/>
    <col min="5899" max="5899" width="5.7109375" style="1552" customWidth="1"/>
    <col min="5900" max="5900" width="90" style="1552" customWidth="1"/>
    <col min="5901" max="6144" width="9.140625" style="1552"/>
    <col min="6145" max="6145" width="2" style="1552" customWidth="1"/>
    <col min="6146" max="6146" width="18.140625" style="1552" customWidth="1"/>
    <col min="6147" max="6147" width="20.85546875" style="1552" customWidth="1"/>
    <col min="6148" max="6148" width="11.42578125" style="1552" customWidth="1"/>
    <col min="6149" max="6149" width="12.85546875" style="1552" customWidth="1"/>
    <col min="6150" max="6150" width="11.42578125" style="1552" customWidth="1"/>
    <col min="6151" max="6151" width="5.7109375" style="1552" customWidth="1"/>
    <col min="6152" max="6154" width="11.42578125" style="1552" customWidth="1"/>
    <col min="6155" max="6155" width="5.7109375" style="1552" customWidth="1"/>
    <col min="6156" max="6156" width="90" style="1552" customWidth="1"/>
    <col min="6157" max="6400" width="9.140625" style="1552"/>
    <col min="6401" max="6401" width="2" style="1552" customWidth="1"/>
    <col min="6402" max="6402" width="18.140625" style="1552" customWidth="1"/>
    <col min="6403" max="6403" width="20.85546875" style="1552" customWidth="1"/>
    <col min="6404" max="6404" width="11.42578125" style="1552" customWidth="1"/>
    <col min="6405" max="6405" width="12.85546875" style="1552" customWidth="1"/>
    <col min="6406" max="6406" width="11.42578125" style="1552" customWidth="1"/>
    <col min="6407" max="6407" width="5.7109375" style="1552" customWidth="1"/>
    <col min="6408" max="6410" width="11.42578125" style="1552" customWidth="1"/>
    <col min="6411" max="6411" width="5.7109375" style="1552" customWidth="1"/>
    <col min="6412" max="6412" width="90" style="1552" customWidth="1"/>
    <col min="6413" max="6656" width="9.140625" style="1552"/>
    <col min="6657" max="6657" width="2" style="1552" customWidth="1"/>
    <col min="6658" max="6658" width="18.140625" style="1552" customWidth="1"/>
    <col min="6659" max="6659" width="20.85546875" style="1552" customWidth="1"/>
    <col min="6660" max="6660" width="11.42578125" style="1552" customWidth="1"/>
    <col min="6661" max="6661" width="12.85546875" style="1552" customWidth="1"/>
    <col min="6662" max="6662" width="11.42578125" style="1552" customWidth="1"/>
    <col min="6663" max="6663" width="5.7109375" style="1552" customWidth="1"/>
    <col min="6664" max="6666" width="11.42578125" style="1552" customWidth="1"/>
    <col min="6667" max="6667" width="5.7109375" style="1552" customWidth="1"/>
    <col min="6668" max="6668" width="90" style="1552" customWidth="1"/>
    <col min="6669" max="6912" width="9.140625" style="1552"/>
    <col min="6913" max="6913" width="2" style="1552" customWidth="1"/>
    <col min="6914" max="6914" width="18.140625" style="1552" customWidth="1"/>
    <col min="6915" max="6915" width="20.85546875" style="1552" customWidth="1"/>
    <col min="6916" max="6916" width="11.42578125" style="1552" customWidth="1"/>
    <col min="6917" max="6917" width="12.85546875" style="1552" customWidth="1"/>
    <col min="6918" max="6918" width="11.42578125" style="1552" customWidth="1"/>
    <col min="6919" max="6919" width="5.7109375" style="1552" customWidth="1"/>
    <col min="6920" max="6922" width="11.42578125" style="1552" customWidth="1"/>
    <col min="6923" max="6923" width="5.7109375" style="1552" customWidth="1"/>
    <col min="6924" max="6924" width="90" style="1552" customWidth="1"/>
    <col min="6925" max="7168" width="9.140625" style="1552"/>
    <col min="7169" max="7169" width="2" style="1552" customWidth="1"/>
    <col min="7170" max="7170" width="18.140625" style="1552" customWidth="1"/>
    <col min="7171" max="7171" width="20.85546875" style="1552" customWidth="1"/>
    <col min="7172" max="7172" width="11.42578125" style="1552" customWidth="1"/>
    <col min="7173" max="7173" width="12.85546875" style="1552" customWidth="1"/>
    <col min="7174" max="7174" width="11.42578125" style="1552" customWidth="1"/>
    <col min="7175" max="7175" width="5.7109375" style="1552" customWidth="1"/>
    <col min="7176" max="7178" width="11.42578125" style="1552" customWidth="1"/>
    <col min="7179" max="7179" width="5.7109375" style="1552" customWidth="1"/>
    <col min="7180" max="7180" width="90" style="1552" customWidth="1"/>
    <col min="7181" max="7424" width="9.140625" style="1552"/>
    <col min="7425" max="7425" width="2" style="1552" customWidth="1"/>
    <col min="7426" max="7426" width="18.140625" style="1552" customWidth="1"/>
    <col min="7427" max="7427" width="20.85546875" style="1552" customWidth="1"/>
    <col min="7428" max="7428" width="11.42578125" style="1552" customWidth="1"/>
    <col min="7429" max="7429" width="12.85546875" style="1552" customWidth="1"/>
    <col min="7430" max="7430" width="11.42578125" style="1552" customWidth="1"/>
    <col min="7431" max="7431" width="5.7109375" style="1552" customWidth="1"/>
    <col min="7432" max="7434" width="11.42578125" style="1552" customWidth="1"/>
    <col min="7435" max="7435" width="5.7109375" style="1552" customWidth="1"/>
    <col min="7436" max="7436" width="90" style="1552" customWidth="1"/>
    <col min="7437" max="7680" width="9.140625" style="1552"/>
    <col min="7681" max="7681" width="2" style="1552" customWidth="1"/>
    <col min="7682" max="7682" width="18.140625" style="1552" customWidth="1"/>
    <col min="7683" max="7683" width="20.85546875" style="1552" customWidth="1"/>
    <col min="7684" max="7684" width="11.42578125" style="1552" customWidth="1"/>
    <col min="7685" max="7685" width="12.85546875" style="1552" customWidth="1"/>
    <col min="7686" max="7686" width="11.42578125" style="1552" customWidth="1"/>
    <col min="7687" max="7687" width="5.7109375" style="1552" customWidth="1"/>
    <col min="7688" max="7690" width="11.42578125" style="1552" customWidth="1"/>
    <col min="7691" max="7691" width="5.7109375" style="1552" customWidth="1"/>
    <col min="7692" max="7692" width="90" style="1552" customWidth="1"/>
    <col min="7693" max="7936" width="9.140625" style="1552"/>
    <col min="7937" max="7937" width="2" style="1552" customWidth="1"/>
    <col min="7938" max="7938" width="18.140625" style="1552" customWidth="1"/>
    <col min="7939" max="7939" width="20.85546875" style="1552" customWidth="1"/>
    <col min="7940" max="7940" width="11.42578125" style="1552" customWidth="1"/>
    <col min="7941" max="7941" width="12.85546875" style="1552" customWidth="1"/>
    <col min="7942" max="7942" width="11.42578125" style="1552" customWidth="1"/>
    <col min="7943" max="7943" width="5.7109375" style="1552" customWidth="1"/>
    <col min="7944" max="7946" width="11.42578125" style="1552" customWidth="1"/>
    <col min="7947" max="7947" width="5.7109375" style="1552" customWidth="1"/>
    <col min="7948" max="7948" width="90" style="1552" customWidth="1"/>
    <col min="7949" max="8192" width="9.140625" style="1552"/>
    <col min="8193" max="8193" width="2" style="1552" customWidth="1"/>
    <col min="8194" max="8194" width="18.140625" style="1552" customWidth="1"/>
    <col min="8195" max="8195" width="20.85546875" style="1552" customWidth="1"/>
    <col min="8196" max="8196" width="11.42578125" style="1552" customWidth="1"/>
    <col min="8197" max="8197" width="12.85546875" style="1552" customWidth="1"/>
    <col min="8198" max="8198" width="11.42578125" style="1552" customWidth="1"/>
    <col min="8199" max="8199" width="5.7109375" style="1552" customWidth="1"/>
    <col min="8200" max="8202" width="11.42578125" style="1552" customWidth="1"/>
    <col min="8203" max="8203" width="5.7109375" style="1552" customWidth="1"/>
    <col min="8204" max="8204" width="90" style="1552" customWidth="1"/>
    <col min="8205" max="8448" width="9.140625" style="1552"/>
    <col min="8449" max="8449" width="2" style="1552" customWidth="1"/>
    <col min="8450" max="8450" width="18.140625" style="1552" customWidth="1"/>
    <col min="8451" max="8451" width="20.85546875" style="1552" customWidth="1"/>
    <col min="8452" max="8452" width="11.42578125" style="1552" customWidth="1"/>
    <col min="8453" max="8453" width="12.85546875" style="1552" customWidth="1"/>
    <col min="8454" max="8454" width="11.42578125" style="1552" customWidth="1"/>
    <col min="8455" max="8455" width="5.7109375" style="1552" customWidth="1"/>
    <col min="8456" max="8458" width="11.42578125" style="1552" customWidth="1"/>
    <col min="8459" max="8459" width="5.7109375" style="1552" customWidth="1"/>
    <col min="8460" max="8460" width="90" style="1552" customWidth="1"/>
    <col min="8461" max="8704" width="9.140625" style="1552"/>
    <col min="8705" max="8705" width="2" style="1552" customWidth="1"/>
    <col min="8706" max="8706" width="18.140625" style="1552" customWidth="1"/>
    <col min="8707" max="8707" width="20.85546875" style="1552" customWidth="1"/>
    <col min="8708" max="8708" width="11.42578125" style="1552" customWidth="1"/>
    <col min="8709" max="8709" width="12.85546875" style="1552" customWidth="1"/>
    <col min="8710" max="8710" width="11.42578125" style="1552" customWidth="1"/>
    <col min="8711" max="8711" width="5.7109375" style="1552" customWidth="1"/>
    <col min="8712" max="8714" width="11.42578125" style="1552" customWidth="1"/>
    <col min="8715" max="8715" width="5.7109375" style="1552" customWidth="1"/>
    <col min="8716" max="8716" width="90" style="1552" customWidth="1"/>
    <col min="8717" max="8960" width="9.140625" style="1552"/>
    <col min="8961" max="8961" width="2" style="1552" customWidth="1"/>
    <col min="8962" max="8962" width="18.140625" style="1552" customWidth="1"/>
    <col min="8963" max="8963" width="20.85546875" style="1552" customWidth="1"/>
    <col min="8964" max="8964" width="11.42578125" style="1552" customWidth="1"/>
    <col min="8965" max="8965" width="12.85546875" style="1552" customWidth="1"/>
    <col min="8966" max="8966" width="11.42578125" style="1552" customWidth="1"/>
    <col min="8967" max="8967" width="5.7109375" style="1552" customWidth="1"/>
    <col min="8968" max="8970" width="11.42578125" style="1552" customWidth="1"/>
    <col min="8971" max="8971" width="5.7109375" style="1552" customWidth="1"/>
    <col min="8972" max="8972" width="90" style="1552" customWidth="1"/>
    <col min="8973" max="9216" width="9.140625" style="1552"/>
    <col min="9217" max="9217" width="2" style="1552" customWidth="1"/>
    <col min="9218" max="9218" width="18.140625" style="1552" customWidth="1"/>
    <col min="9219" max="9219" width="20.85546875" style="1552" customWidth="1"/>
    <col min="9220" max="9220" width="11.42578125" style="1552" customWidth="1"/>
    <col min="9221" max="9221" width="12.85546875" style="1552" customWidth="1"/>
    <col min="9222" max="9222" width="11.42578125" style="1552" customWidth="1"/>
    <col min="9223" max="9223" width="5.7109375" style="1552" customWidth="1"/>
    <col min="9224" max="9226" width="11.42578125" style="1552" customWidth="1"/>
    <col min="9227" max="9227" width="5.7109375" style="1552" customWidth="1"/>
    <col min="9228" max="9228" width="90" style="1552" customWidth="1"/>
    <col min="9229" max="9472" width="9.140625" style="1552"/>
    <col min="9473" max="9473" width="2" style="1552" customWidth="1"/>
    <col min="9474" max="9474" width="18.140625" style="1552" customWidth="1"/>
    <col min="9475" max="9475" width="20.85546875" style="1552" customWidth="1"/>
    <col min="9476" max="9476" width="11.42578125" style="1552" customWidth="1"/>
    <col min="9477" max="9477" width="12.85546875" style="1552" customWidth="1"/>
    <col min="9478" max="9478" width="11.42578125" style="1552" customWidth="1"/>
    <col min="9479" max="9479" width="5.7109375" style="1552" customWidth="1"/>
    <col min="9480" max="9482" width="11.42578125" style="1552" customWidth="1"/>
    <col min="9483" max="9483" width="5.7109375" style="1552" customWidth="1"/>
    <col min="9484" max="9484" width="90" style="1552" customWidth="1"/>
    <col min="9485" max="9728" width="9.140625" style="1552"/>
    <col min="9729" max="9729" width="2" style="1552" customWidth="1"/>
    <col min="9730" max="9730" width="18.140625" style="1552" customWidth="1"/>
    <col min="9731" max="9731" width="20.85546875" style="1552" customWidth="1"/>
    <col min="9732" max="9732" width="11.42578125" style="1552" customWidth="1"/>
    <col min="9733" max="9733" width="12.85546875" style="1552" customWidth="1"/>
    <col min="9734" max="9734" width="11.42578125" style="1552" customWidth="1"/>
    <col min="9735" max="9735" width="5.7109375" style="1552" customWidth="1"/>
    <col min="9736" max="9738" width="11.42578125" style="1552" customWidth="1"/>
    <col min="9739" max="9739" width="5.7109375" style="1552" customWidth="1"/>
    <col min="9740" max="9740" width="90" style="1552" customWidth="1"/>
    <col min="9741" max="9984" width="9.140625" style="1552"/>
    <col min="9985" max="9985" width="2" style="1552" customWidth="1"/>
    <col min="9986" max="9986" width="18.140625" style="1552" customWidth="1"/>
    <col min="9987" max="9987" width="20.85546875" style="1552" customWidth="1"/>
    <col min="9988" max="9988" width="11.42578125" style="1552" customWidth="1"/>
    <col min="9989" max="9989" width="12.85546875" style="1552" customWidth="1"/>
    <col min="9990" max="9990" width="11.42578125" style="1552" customWidth="1"/>
    <col min="9991" max="9991" width="5.7109375" style="1552" customWidth="1"/>
    <col min="9992" max="9994" width="11.42578125" style="1552" customWidth="1"/>
    <col min="9995" max="9995" width="5.7109375" style="1552" customWidth="1"/>
    <col min="9996" max="9996" width="90" style="1552" customWidth="1"/>
    <col min="9997" max="10240" width="9.140625" style="1552"/>
    <col min="10241" max="10241" width="2" style="1552" customWidth="1"/>
    <col min="10242" max="10242" width="18.140625" style="1552" customWidth="1"/>
    <col min="10243" max="10243" width="20.85546875" style="1552" customWidth="1"/>
    <col min="10244" max="10244" width="11.42578125" style="1552" customWidth="1"/>
    <col min="10245" max="10245" width="12.85546875" style="1552" customWidth="1"/>
    <col min="10246" max="10246" width="11.42578125" style="1552" customWidth="1"/>
    <col min="10247" max="10247" width="5.7109375" style="1552" customWidth="1"/>
    <col min="10248" max="10250" width="11.42578125" style="1552" customWidth="1"/>
    <col min="10251" max="10251" width="5.7109375" style="1552" customWidth="1"/>
    <col min="10252" max="10252" width="90" style="1552" customWidth="1"/>
    <col min="10253" max="10496" width="9.140625" style="1552"/>
    <col min="10497" max="10497" width="2" style="1552" customWidth="1"/>
    <col min="10498" max="10498" width="18.140625" style="1552" customWidth="1"/>
    <col min="10499" max="10499" width="20.85546875" style="1552" customWidth="1"/>
    <col min="10500" max="10500" width="11.42578125" style="1552" customWidth="1"/>
    <col min="10501" max="10501" width="12.85546875" style="1552" customWidth="1"/>
    <col min="10502" max="10502" width="11.42578125" style="1552" customWidth="1"/>
    <col min="10503" max="10503" width="5.7109375" style="1552" customWidth="1"/>
    <col min="10504" max="10506" width="11.42578125" style="1552" customWidth="1"/>
    <col min="10507" max="10507" width="5.7109375" style="1552" customWidth="1"/>
    <col min="10508" max="10508" width="90" style="1552" customWidth="1"/>
    <col min="10509" max="10752" width="9.140625" style="1552"/>
    <col min="10753" max="10753" width="2" style="1552" customWidth="1"/>
    <col min="10754" max="10754" width="18.140625" style="1552" customWidth="1"/>
    <col min="10755" max="10755" width="20.85546875" style="1552" customWidth="1"/>
    <col min="10756" max="10756" width="11.42578125" style="1552" customWidth="1"/>
    <col min="10757" max="10757" width="12.85546875" style="1552" customWidth="1"/>
    <col min="10758" max="10758" width="11.42578125" style="1552" customWidth="1"/>
    <col min="10759" max="10759" width="5.7109375" style="1552" customWidth="1"/>
    <col min="10760" max="10762" width="11.42578125" style="1552" customWidth="1"/>
    <col min="10763" max="10763" width="5.7109375" style="1552" customWidth="1"/>
    <col min="10764" max="10764" width="90" style="1552" customWidth="1"/>
    <col min="10765" max="11008" width="9.140625" style="1552"/>
    <col min="11009" max="11009" width="2" style="1552" customWidth="1"/>
    <col min="11010" max="11010" width="18.140625" style="1552" customWidth="1"/>
    <col min="11011" max="11011" width="20.85546875" style="1552" customWidth="1"/>
    <col min="11012" max="11012" width="11.42578125" style="1552" customWidth="1"/>
    <col min="11013" max="11013" width="12.85546875" style="1552" customWidth="1"/>
    <col min="11014" max="11014" width="11.42578125" style="1552" customWidth="1"/>
    <col min="11015" max="11015" width="5.7109375" style="1552" customWidth="1"/>
    <col min="11016" max="11018" width="11.42578125" style="1552" customWidth="1"/>
    <col min="11019" max="11019" width="5.7109375" style="1552" customWidth="1"/>
    <col min="11020" max="11020" width="90" style="1552" customWidth="1"/>
    <col min="11021" max="11264" width="9.140625" style="1552"/>
    <col min="11265" max="11265" width="2" style="1552" customWidth="1"/>
    <col min="11266" max="11266" width="18.140625" style="1552" customWidth="1"/>
    <col min="11267" max="11267" width="20.85546875" style="1552" customWidth="1"/>
    <col min="11268" max="11268" width="11.42578125" style="1552" customWidth="1"/>
    <col min="11269" max="11269" width="12.85546875" style="1552" customWidth="1"/>
    <col min="11270" max="11270" width="11.42578125" style="1552" customWidth="1"/>
    <col min="11271" max="11271" width="5.7109375" style="1552" customWidth="1"/>
    <col min="11272" max="11274" width="11.42578125" style="1552" customWidth="1"/>
    <col min="11275" max="11275" width="5.7109375" style="1552" customWidth="1"/>
    <col min="11276" max="11276" width="90" style="1552" customWidth="1"/>
    <col min="11277" max="11520" width="9.140625" style="1552"/>
    <col min="11521" max="11521" width="2" style="1552" customWidth="1"/>
    <col min="11522" max="11522" width="18.140625" style="1552" customWidth="1"/>
    <col min="11523" max="11523" width="20.85546875" style="1552" customWidth="1"/>
    <col min="11524" max="11524" width="11.42578125" style="1552" customWidth="1"/>
    <col min="11525" max="11525" width="12.85546875" style="1552" customWidth="1"/>
    <col min="11526" max="11526" width="11.42578125" style="1552" customWidth="1"/>
    <col min="11527" max="11527" width="5.7109375" style="1552" customWidth="1"/>
    <col min="11528" max="11530" width="11.42578125" style="1552" customWidth="1"/>
    <col min="11531" max="11531" width="5.7109375" style="1552" customWidth="1"/>
    <col min="11532" max="11532" width="90" style="1552" customWidth="1"/>
    <col min="11533" max="11776" width="9.140625" style="1552"/>
    <col min="11777" max="11777" width="2" style="1552" customWidth="1"/>
    <col min="11778" max="11778" width="18.140625" style="1552" customWidth="1"/>
    <col min="11779" max="11779" width="20.85546875" style="1552" customWidth="1"/>
    <col min="11780" max="11780" width="11.42578125" style="1552" customWidth="1"/>
    <col min="11781" max="11781" width="12.85546875" style="1552" customWidth="1"/>
    <col min="11782" max="11782" width="11.42578125" style="1552" customWidth="1"/>
    <col min="11783" max="11783" width="5.7109375" style="1552" customWidth="1"/>
    <col min="11784" max="11786" width="11.42578125" style="1552" customWidth="1"/>
    <col min="11787" max="11787" width="5.7109375" style="1552" customWidth="1"/>
    <col min="11788" max="11788" width="90" style="1552" customWidth="1"/>
    <col min="11789" max="12032" width="9.140625" style="1552"/>
    <col min="12033" max="12033" width="2" style="1552" customWidth="1"/>
    <col min="12034" max="12034" width="18.140625" style="1552" customWidth="1"/>
    <col min="12035" max="12035" width="20.85546875" style="1552" customWidth="1"/>
    <col min="12036" max="12036" width="11.42578125" style="1552" customWidth="1"/>
    <col min="12037" max="12037" width="12.85546875" style="1552" customWidth="1"/>
    <col min="12038" max="12038" width="11.42578125" style="1552" customWidth="1"/>
    <col min="12039" max="12039" width="5.7109375" style="1552" customWidth="1"/>
    <col min="12040" max="12042" width="11.42578125" style="1552" customWidth="1"/>
    <col min="12043" max="12043" width="5.7109375" style="1552" customWidth="1"/>
    <col min="12044" max="12044" width="90" style="1552" customWidth="1"/>
    <col min="12045" max="12288" width="9.140625" style="1552"/>
    <col min="12289" max="12289" width="2" style="1552" customWidth="1"/>
    <col min="12290" max="12290" width="18.140625" style="1552" customWidth="1"/>
    <col min="12291" max="12291" width="20.85546875" style="1552" customWidth="1"/>
    <col min="12292" max="12292" width="11.42578125" style="1552" customWidth="1"/>
    <col min="12293" max="12293" width="12.85546875" style="1552" customWidth="1"/>
    <col min="12294" max="12294" width="11.42578125" style="1552" customWidth="1"/>
    <col min="12295" max="12295" width="5.7109375" style="1552" customWidth="1"/>
    <col min="12296" max="12298" width="11.42578125" style="1552" customWidth="1"/>
    <col min="12299" max="12299" width="5.7109375" style="1552" customWidth="1"/>
    <col min="12300" max="12300" width="90" style="1552" customWidth="1"/>
    <col min="12301" max="12544" width="9.140625" style="1552"/>
    <col min="12545" max="12545" width="2" style="1552" customWidth="1"/>
    <col min="12546" max="12546" width="18.140625" style="1552" customWidth="1"/>
    <col min="12547" max="12547" width="20.85546875" style="1552" customWidth="1"/>
    <col min="12548" max="12548" width="11.42578125" style="1552" customWidth="1"/>
    <col min="12549" max="12549" width="12.85546875" style="1552" customWidth="1"/>
    <col min="12550" max="12550" width="11.42578125" style="1552" customWidth="1"/>
    <col min="12551" max="12551" width="5.7109375" style="1552" customWidth="1"/>
    <col min="12552" max="12554" width="11.42578125" style="1552" customWidth="1"/>
    <col min="12555" max="12555" width="5.7109375" style="1552" customWidth="1"/>
    <col min="12556" max="12556" width="90" style="1552" customWidth="1"/>
    <col min="12557" max="12800" width="9.140625" style="1552"/>
    <col min="12801" max="12801" width="2" style="1552" customWidth="1"/>
    <col min="12802" max="12802" width="18.140625" style="1552" customWidth="1"/>
    <col min="12803" max="12803" width="20.85546875" style="1552" customWidth="1"/>
    <col min="12804" max="12804" width="11.42578125" style="1552" customWidth="1"/>
    <col min="12805" max="12805" width="12.85546875" style="1552" customWidth="1"/>
    <col min="12806" max="12806" width="11.42578125" style="1552" customWidth="1"/>
    <col min="12807" max="12807" width="5.7109375" style="1552" customWidth="1"/>
    <col min="12808" max="12810" width="11.42578125" style="1552" customWidth="1"/>
    <col min="12811" max="12811" width="5.7109375" style="1552" customWidth="1"/>
    <col min="12812" max="12812" width="90" style="1552" customWidth="1"/>
    <col min="12813" max="13056" width="9.140625" style="1552"/>
    <col min="13057" max="13057" width="2" style="1552" customWidth="1"/>
    <col min="13058" max="13058" width="18.140625" style="1552" customWidth="1"/>
    <col min="13059" max="13059" width="20.85546875" style="1552" customWidth="1"/>
    <col min="13060" max="13060" width="11.42578125" style="1552" customWidth="1"/>
    <col min="13061" max="13061" width="12.85546875" style="1552" customWidth="1"/>
    <col min="13062" max="13062" width="11.42578125" style="1552" customWidth="1"/>
    <col min="13063" max="13063" width="5.7109375" style="1552" customWidth="1"/>
    <col min="13064" max="13066" width="11.42578125" style="1552" customWidth="1"/>
    <col min="13067" max="13067" width="5.7109375" style="1552" customWidth="1"/>
    <col min="13068" max="13068" width="90" style="1552" customWidth="1"/>
    <col min="13069" max="13312" width="9.140625" style="1552"/>
    <col min="13313" max="13313" width="2" style="1552" customWidth="1"/>
    <col min="13314" max="13314" width="18.140625" style="1552" customWidth="1"/>
    <col min="13315" max="13315" width="20.85546875" style="1552" customWidth="1"/>
    <col min="13316" max="13316" width="11.42578125" style="1552" customWidth="1"/>
    <col min="13317" max="13317" width="12.85546875" style="1552" customWidth="1"/>
    <col min="13318" max="13318" width="11.42578125" style="1552" customWidth="1"/>
    <col min="13319" max="13319" width="5.7109375" style="1552" customWidth="1"/>
    <col min="13320" max="13322" width="11.42578125" style="1552" customWidth="1"/>
    <col min="13323" max="13323" width="5.7109375" style="1552" customWidth="1"/>
    <col min="13324" max="13324" width="90" style="1552" customWidth="1"/>
    <col min="13325" max="13568" width="9.140625" style="1552"/>
    <col min="13569" max="13569" width="2" style="1552" customWidth="1"/>
    <col min="13570" max="13570" width="18.140625" style="1552" customWidth="1"/>
    <col min="13571" max="13571" width="20.85546875" style="1552" customWidth="1"/>
    <col min="13572" max="13572" width="11.42578125" style="1552" customWidth="1"/>
    <col min="13573" max="13573" width="12.85546875" style="1552" customWidth="1"/>
    <col min="13574" max="13574" width="11.42578125" style="1552" customWidth="1"/>
    <col min="13575" max="13575" width="5.7109375" style="1552" customWidth="1"/>
    <col min="13576" max="13578" width="11.42578125" style="1552" customWidth="1"/>
    <col min="13579" max="13579" width="5.7109375" style="1552" customWidth="1"/>
    <col min="13580" max="13580" width="90" style="1552" customWidth="1"/>
    <col min="13581" max="13824" width="9.140625" style="1552"/>
    <col min="13825" max="13825" width="2" style="1552" customWidth="1"/>
    <col min="13826" max="13826" width="18.140625" style="1552" customWidth="1"/>
    <col min="13827" max="13827" width="20.85546875" style="1552" customWidth="1"/>
    <col min="13828" max="13828" width="11.42578125" style="1552" customWidth="1"/>
    <col min="13829" max="13829" width="12.85546875" style="1552" customWidth="1"/>
    <col min="13830" max="13830" width="11.42578125" style="1552" customWidth="1"/>
    <col min="13831" max="13831" width="5.7109375" style="1552" customWidth="1"/>
    <col min="13832" max="13834" width="11.42578125" style="1552" customWidth="1"/>
    <col min="13835" max="13835" width="5.7109375" style="1552" customWidth="1"/>
    <col min="13836" max="13836" width="90" style="1552" customWidth="1"/>
    <col min="13837" max="14080" width="9.140625" style="1552"/>
    <col min="14081" max="14081" width="2" style="1552" customWidth="1"/>
    <col min="14082" max="14082" width="18.140625" style="1552" customWidth="1"/>
    <col min="14083" max="14083" width="20.85546875" style="1552" customWidth="1"/>
    <col min="14084" max="14084" width="11.42578125" style="1552" customWidth="1"/>
    <col min="14085" max="14085" width="12.85546875" style="1552" customWidth="1"/>
    <col min="14086" max="14086" width="11.42578125" style="1552" customWidth="1"/>
    <col min="14087" max="14087" width="5.7109375" style="1552" customWidth="1"/>
    <col min="14088" max="14090" width="11.42578125" style="1552" customWidth="1"/>
    <col min="14091" max="14091" width="5.7109375" style="1552" customWidth="1"/>
    <col min="14092" max="14092" width="90" style="1552" customWidth="1"/>
    <col min="14093" max="14336" width="9.140625" style="1552"/>
    <col min="14337" max="14337" width="2" style="1552" customWidth="1"/>
    <col min="14338" max="14338" width="18.140625" style="1552" customWidth="1"/>
    <col min="14339" max="14339" width="20.85546875" style="1552" customWidth="1"/>
    <col min="14340" max="14340" width="11.42578125" style="1552" customWidth="1"/>
    <col min="14341" max="14341" width="12.85546875" style="1552" customWidth="1"/>
    <col min="14342" max="14342" width="11.42578125" style="1552" customWidth="1"/>
    <col min="14343" max="14343" width="5.7109375" style="1552" customWidth="1"/>
    <col min="14344" max="14346" width="11.42578125" style="1552" customWidth="1"/>
    <col min="14347" max="14347" width="5.7109375" style="1552" customWidth="1"/>
    <col min="14348" max="14348" width="90" style="1552" customWidth="1"/>
    <col min="14349" max="14592" width="9.140625" style="1552"/>
    <col min="14593" max="14593" width="2" style="1552" customWidth="1"/>
    <col min="14594" max="14594" width="18.140625" style="1552" customWidth="1"/>
    <col min="14595" max="14595" width="20.85546875" style="1552" customWidth="1"/>
    <col min="14596" max="14596" width="11.42578125" style="1552" customWidth="1"/>
    <col min="14597" max="14597" width="12.85546875" style="1552" customWidth="1"/>
    <col min="14598" max="14598" width="11.42578125" style="1552" customWidth="1"/>
    <col min="14599" max="14599" width="5.7109375" style="1552" customWidth="1"/>
    <col min="14600" max="14602" width="11.42578125" style="1552" customWidth="1"/>
    <col min="14603" max="14603" width="5.7109375" style="1552" customWidth="1"/>
    <col min="14604" max="14604" width="90" style="1552" customWidth="1"/>
    <col min="14605" max="14848" width="9.140625" style="1552"/>
    <col min="14849" max="14849" width="2" style="1552" customWidth="1"/>
    <col min="14850" max="14850" width="18.140625" style="1552" customWidth="1"/>
    <col min="14851" max="14851" width="20.85546875" style="1552" customWidth="1"/>
    <col min="14852" max="14852" width="11.42578125" style="1552" customWidth="1"/>
    <col min="14853" max="14853" width="12.85546875" style="1552" customWidth="1"/>
    <col min="14854" max="14854" width="11.42578125" style="1552" customWidth="1"/>
    <col min="14855" max="14855" width="5.7109375" style="1552" customWidth="1"/>
    <col min="14856" max="14858" width="11.42578125" style="1552" customWidth="1"/>
    <col min="14859" max="14859" width="5.7109375" style="1552" customWidth="1"/>
    <col min="14860" max="14860" width="90" style="1552" customWidth="1"/>
    <col min="14861" max="15104" width="9.140625" style="1552"/>
    <col min="15105" max="15105" width="2" style="1552" customWidth="1"/>
    <col min="15106" max="15106" width="18.140625" style="1552" customWidth="1"/>
    <col min="15107" max="15107" width="20.85546875" style="1552" customWidth="1"/>
    <col min="15108" max="15108" width="11.42578125" style="1552" customWidth="1"/>
    <col min="15109" max="15109" width="12.85546875" style="1552" customWidth="1"/>
    <col min="15110" max="15110" width="11.42578125" style="1552" customWidth="1"/>
    <col min="15111" max="15111" width="5.7109375" style="1552" customWidth="1"/>
    <col min="15112" max="15114" width="11.42578125" style="1552" customWidth="1"/>
    <col min="15115" max="15115" width="5.7109375" style="1552" customWidth="1"/>
    <col min="15116" max="15116" width="90" style="1552" customWidth="1"/>
    <col min="15117" max="15360" width="9.140625" style="1552"/>
    <col min="15361" max="15361" width="2" style="1552" customWidth="1"/>
    <col min="15362" max="15362" width="18.140625" style="1552" customWidth="1"/>
    <col min="15363" max="15363" width="20.85546875" style="1552" customWidth="1"/>
    <col min="15364" max="15364" width="11.42578125" style="1552" customWidth="1"/>
    <col min="15365" max="15365" width="12.85546875" style="1552" customWidth="1"/>
    <col min="15366" max="15366" width="11.42578125" style="1552" customWidth="1"/>
    <col min="15367" max="15367" width="5.7109375" style="1552" customWidth="1"/>
    <col min="15368" max="15370" width="11.42578125" style="1552" customWidth="1"/>
    <col min="15371" max="15371" width="5.7109375" style="1552" customWidth="1"/>
    <col min="15372" max="15372" width="90" style="1552" customWidth="1"/>
    <col min="15373" max="15616" width="9.140625" style="1552"/>
    <col min="15617" max="15617" width="2" style="1552" customWidth="1"/>
    <col min="15618" max="15618" width="18.140625" style="1552" customWidth="1"/>
    <col min="15619" max="15619" width="20.85546875" style="1552" customWidth="1"/>
    <col min="15620" max="15620" width="11.42578125" style="1552" customWidth="1"/>
    <col min="15621" max="15621" width="12.85546875" style="1552" customWidth="1"/>
    <col min="15622" max="15622" width="11.42578125" style="1552" customWidth="1"/>
    <col min="15623" max="15623" width="5.7109375" style="1552" customWidth="1"/>
    <col min="15624" max="15626" width="11.42578125" style="1552" customWidth="1"/>
    <col min="15627" max="15627" width="5.7109375" style="1552" customWidth="1"/>
    <col min="15628" max="15628" width="90" style="1552" customWidth="1"/>
    <col min="15629" max="15872" width="9.140625" style="1552"/>
    <col min="15873" max="15873" width="2" style="1552" customWidth="1"/>
    <col min="15874" max="15874" width="18.140625" style="1552" customWidth="1"/>
    <col min="15875" max="15875" width="20.85546875" style="1552" customWidth="1"/>
    <col min="15876" max="15876" width="11.42578125" style="1552" customWidth="1"/>
    <col min="15877" max="15877" width="12.85546875" style="1552" customWidth="1"/>
    <col min="15878" max="15878" width="11.42578125" style="1552" customWidth="1"/>
    <col min="15879" max="15879" width="5.7109375" style="1552" customWidth="1"/>
    <col min="15880" max="15882" width="11.42578125" style="1552" customWidth="1"/>
    <col min="15883" max="15883" width="5.7109375" style="1552" customWidth="1"/>
    <col min="15884" max="15884" width="90" style="1552" customWidth="1"/>
    <col min="15885" max="16128" width="9.140625" style="1552"/>
    <col min="16129" max="16129" width="2" style="1552" customWidth="1"/>
    <col min="16130" max="16130" width="18.140625" style="1552" customWidth="1"/>
    <col min="16131" max="16131" width="20.85546875" style="1552" customWidth="1"/>
    <col min="16132" max="16132" width="11.42578125" style="1552" customWidth="1"/>
    <col min="16133" max="16133" width="12.85546875" style="1552" customWidth="1"/>
    <col min="16134" max="16134" width="11.42578125" style="1552" customWidth="1"/>
    <col min="16135" max="16135" width="5.7109375" style="1552" customWidth="1"/>
    <col min="16136" max="16138" width="11.42578125" style="1552" customWidth="1"/>
    <col min="16139" max="16139" width="5.7109375" style="1552" customWidth="1"/>
    <col min="16140" max="16140" width="90" style="1552" customWidth="1"/>
    <col min="16141" max="16384" width="9.140625" style="1552"/>
  </cols>
  <sheetData>
    <row r="1" spans="1:17" ht="110.25" customHeight="1" thickBot="1">
      <c r="A1" s="1633"/>
      <c r="B1" s="1665"/>
      <c r="C1" s="1665"/>
      <c r="D1" s="1665"/>
      <c r="E1" s="1665"/>
      <c r="F1" s="1665"/>
      <c r="G1" s="1665"/>
      <c r="H1" s="1665"/>
      <c r="I1" s="1665"/>
      <c r="J1" s="1665"/>
      <c r="K1" s="1665"/>
      <c r="L1" s="1664"/>
    </row>
    <row r="2" spans="1:17" s="1662" customFormat="1" ht="35.25" customHeight="1" thickBot="1">
      <c r="A2" s="2941" t="s">
        <v>1531</v>
      </c>
      <c r="B2" s="2942"/>
      <c r="C2" s="2942"/>
      <c r="D2" s="2942"/>
      <c r="E2" s="2942"/>
      <c r="F2" s="2942"/>
      <c r="G2" s="2942"/>
      <c r="H2" s="2942"/>
      <c r="I2" s="2942"/>
      <c r="J2" s="2942"/>
      <c r="K2" s="2942"/>
      <c r="L2" s="2943"/>
      <c r="M2" s="1557"/>
      <c r="N2" s="1557"/>
      <c r="O2" s="1557"/>
      <c r="P2" s="1663"/>
      <c r="Q2" s="1663"/>
    </row>
    <row r="3" spans="1:17" ht="15" customHeight="1">
      <c r="A3" s="1565"/>
      <c r="B3" s="1570"/>
      <c r="C3" s="1563"/>
      <c r="D3" s="1563"/>
      <c r="E3" s="1563"/>
      <c r="F3" s="1563"/>
      <c r="G3" s="1563"/>
      <c r="H3" s="1563"/>
      <c r="I3" s="1563"/>
      <c r="J3" s="1563"/>
      <c r="K3" s="1563"/>
      <c r="L3" s="1562"/>
    </row>
    <row r="4" spans="1:17" ht="15" customHeight="1">
      <c r="A4" s="1565"/>
      <c r="B4" s="1570" t="s">
        <v>384</v>
      </c>
      <c r="C4" s="1563"/>
      <c r="D4" s="1563"/>
      <c r="E4" s="1563"/>
      <c r="F4" s="1563"/>
      <c r="G4" s="1563"/>
      <c r="H4" s="1563"/>
      <c r="I4" s="1563"/>
      <c r="J4" s="1563"/>
      <c r="K4" s="1563"/>
      <c r="L4" s="1562"/>
    </row>
    <row r="5" spans="1:17" ht="15" customHeight="1">
      <c r="A5" s="1565"/>
      <c r="B5" s="2907" t="s">
        <v>1530</v>
      </c>
      <c r="C5" s="2898"/>
      <c r="D5" s="2898"/>
      <c r="E5" s="2898"/>
      <c r="F5" s="2898"/>
      <c r="G5" s="2898"/>
      <c r="H5" s="2898"/>
      <c r="I5" s="2898"/>
      <c r="J5" s="2898"/>
      <c r="K5" s="2898"/>
      <c r="L5" s="2899"/>
    </row>
    <row r="6" spans="1:17" ht="15" customHeight="1">
      <c r="A6" s="1565"/>
      <c r="B6" s="2907" t="s">
        <v>1632</v>
      </c>
      <c r="C6" s="2898"/>
      <c r="D6" s="2898"/>
      <c r="E6" s="2898"/>
      <c r="F6" s="2898"/>
      <c r="G6" s="2898"/>
      <c r="H6" s="2898"/>
      <c r="I6" s="2898"/>
      <c r="J6" s="2898"/>
      <c r="K6" s="2898"/>
      <c r="L6" s="2899"/>
    </row>
    <row r="7" spans="1:17" ht="15" customHeight="1">
      <c r="A7" s="1565"/>
      <c r="B7" s="1650"/>
      <c r="C7" s="1563"/>
      <c r="D7" s="1563"/>
      <c r="E7" s="1563"/>
      <c r="F7" s="1563"/>
      <c r="G7" s="1563"/>
      <c r="H7" s="1563"/>
      <c r="I7" s="1563"/>
      <c r="J7" s="1563"/>
      <c r="K7" s="1563"/>
      <c r="L7" s="1562"/>
    </row>
    <row r="8" spans="1:17" ht="15" customHeight="1">
      <c r="A8" s="1565"/>
      <c r="B8" s="2898" t="s">
        <v>19</v>
      </c>
      <c r="C8" s="2898"/>
      <c r="D8" s="2898"/>
      <c r="E8" s="2898"/>
      <c r="F8" s="3016" t="s">
        <v>913</v>
      </c>
      <c r="G8" s="3016"/>
      <c r="H8" s="3016"/>
      <c r="I8" s="3016"/>
      <c r="J8" s="3016"/>
      <c r="K8" s="3016"/>
      <c r="L8" s="3017"/>
    </row>
    <row r="9" spans="1:17" ht="15" customHeight="1">
      <c r="A9" s="1565"/>
      <c r="B9" s="2920" t="s">
        <v>399</v>
      </c>
      <c r="C9" s="2920"/>
      <c r="D9" s="2920"/>
      <c r="E9" s="2920"/>
      <c r="F9" s="2920"/>
      <c r="G9" s="2920"/>
      <c r="H9" s="2920"/>
      <c r="I9" s="2920"/>
      <c r="J9" s="2920"/>
      <c r="K9" s="2920"/>
      <c r="L9" s="2944"/>
    </row>
    <row r="10" spans="1:17" ht="15" customHeight="1">
      <c r="A10" s="1565"/>
      <c r="B10" s="2664" t="s">
        <v>1633</v>
      </c>
      <c r="C10" s="1563"/>
      <c r="D10" s="1563"/>
      <c r="E10" s="1563"/>
      <c r="F10" s="1563"/>
      <c r="G10" s="1563"/>
      <c r="H10" s="1563"/>
      <c r="I10" s="1563"/>
      <c r="J10" s="1563"/>
      <c r="K10" s="1563"/>
      <c r="L10" s="1562"/>
    </row>
    <row r="11" spans="1:17" ht="15" customHeight="1">
      <c r="A11" s="1565"/>
      <c r="B11" s="1580" t="s">
        <v>383</v>
      </c>
      <c r="C11" s="1563"/>
      <c r="D11" s="1563"/>
      <c r="E11" s="1563"/>
      <c r="F11" s="1563"/>
      <c r="G11" s="1563"/>
      <c r="H11" s="1563"/>
      <c r="I11" s="1563"/>
      <c r="J11" s="1563"/>
      <c r="K11" s="1563"/>
      <c r="L11" s="1562"/>
    </row>
    <row r="12" spans="1:17" ht="15" customHeight="1">
      <c r="A12" s="1565"/>
      <c r="B12" s="2664" t="s">
        <v>382</v>
      </c>
      <c r="C12" s="1563"/>
      <c r="D12" s="1563"/>
      <c r="E12" s="1563"/>
      <c r="F12" s="1563"/>
      <c r="G12" s="1563"/>
      <c r="H12" s="1563"/>
      <c r="I12" s="1563"/>
      <c r="J12" s="1563"/>
      <c r="K12" s="1563"/>
      <c r="L12" s="1562"/>
    </row>
    <row r="13" spans="1:17" ht="15" customHeight="1">
      <c r="A13" s="1565"/>
      <c r="B13" s="1650"/>
      <c r="C13" s="1563"/>
      <c r="D13" s="1563"/>
      <c r="E13" s="1563"/>
      <c r="F13" s="1563"/>
      <c r="G13" s="1563"/>
      <c r="H13" s="1563"/>
      <c r="I13" s="1563"/>
      <c r="J13" s="1563"/>
      <c r="K13" s="1563"/>
      <c r="L13" s="1562"/>
    </row>
    <row r="14" spans="1:17" ht="15" customHeight="1" thickBot="1">
      <c r="A14" s="1565"/>
      <c r="B14" s="1570" t="s">
        <v>381</v>
      </c>
      <c r="C14" s="1563"/>
      <c r="D14" s="1563"/>
      <c r="E14" s="1563"/>
      <c r="F14" s="1563"/>
      <c r="G14" s="1563"/>
      <c r="H14" s="1563"/>
      <c r="I14" s="1563"/>
      <c r="J14" s="1563"/>
      <c r="K14" s="1563"/>
      <c r="L14" s="1562"/>
    </row>
    <row r="15" spans="1:17" ht="27.6" customHeight="1">
      <c r="A15" s="1565"/>
      <c r="B15" s="1661" t="s">
        <v>858</v>
      </c>
      <c r="C15" s="1620" t="s">
        <v>948</v>
      </c>
      <c r="D15" s="3013" t="s">
        <v>1634</v>
      </c>
      <c r="E15" s="3014"/>
      <c r="F15" s="3014"/>
      <c r="G15" s="3014"/>
      <c r="H15" s="3014"/>
      <c r="I15" s="3014"/>
      <c r="J15" s="3014"/>
      <c r="K15" s="3014"/>
      <c r="L15" s="3015"/>
    </row>
    <row r="16" spans="1:17" ht="27" customHeight="1">
      <c r="A16" s="1565"/>
      <c r="B16" s="1660" t="s">
        <v>859</v>
      </c>
      <c r="C16" s="1659" t="s">
        <v>948</v>
      </c>
      <c r="D16" s="3018" t="s">
        <v>1635</v>
      </c>
      <c r="E16" s="3019"/>
      <c r="F16" s="3019"/>
      <c r="G16" s="3019"/>
      <c r="H16" s="3019"/>
      <c r="I16" s="3019"/>
      <c r="J16" s="3019"/>
      <c r="K16" s="3019"/>
      <c r="L16" s="3020"/>
      <c r="M16" s="1658"/>
    </row>
    <row r="17" spans="1:17" ht="26.1" customHeight="1">
      <c r="A17" s="1565"/>
      <c r="B17" s="3021" t="s">
        <v>380</v>
      </c>
      <c r="C17" s="3022"/>
      <c r="D17" s="3027" t="s">
        <v>1636</v>
      </c>
      <c r="E17" s="3028"/>
      <c r="F17" s="3028"/>
      <c r="G17" s="3028"/>
      <c r="H17" s="3028"/>
      <c r="I17" s="3028"/>
      <c r="J17" s="3028"/>
      <c r="K17" s="3028"/>
      <c r="L17" s="3029"/>
    </row>
    <row r="18" spans="1:17" ht="29.45" customHeight="1">
      <c r="A18" s="1565"/>
      <c r="B18" s="3023"/>
      <c r="C18" s="3024"/>
      <c r="D18" s="3033" t="s">
        <v>1532</v>
      </c>
      <c r="E18" s="3034"/>
      <c r="F18" s="3034"/>
      <c r="G18" s="3034"/>
      <c r="H18" s="3034"/>
      <c r="I18" s="3034"/>
      <c r="J18" s="3034"/>
      <c r="K18" s="3034"/>
      <c r="L18" s="3035"/>
    </row>
    <row r="19" spans="1:17" ht="15" customHeight="1">
      <c r="A19" s="1565"/>
      <c r="B19" s="3025"/>
      <c r="C19" s="3026"/>
      <c r="D19" s="3036"/>
      <c r="E19" s="3037"/>
      <c r="F19" s="3037"/>
      <c r="G19" s="3037"/>
      <c r="H19" s="3037"/>
      <c r="I19" s="3037"/>
      <c r="J19" s="3037"/>
      <c r="K19" s="3037"/>
      <c r="L19" s="3038"/>
    </row>
    <row r="20" spans="1:17" ht="30.75" customHeight="1">
      <c r="A20" s="1565"/>
      <c r="B20" s="1617" t="s">
        <v>927</v>
      </c>
      <c r="C20" s="1616" t="s">
        <v>952</v>
      </c>
      <c r="D20" s="3030" t="s">
        <v>1637</v>
      </c>
      <c r="E20" s="3031"/>
      <c r="F20" s="3031"/>
      <c r="G20" s="3031"/>
      <c r="H20" s="3031"/>
      <c r="I20" s="3031"/>
      <c r="J20" s="3031"/>
      <c r="K20" s="3031"/>
      <c r="L20" s="3032"/>
    </row>
    <row r="21" spans="1:17" ht="15" customHeight="1">
      <c r="A21" s="1565"/>
      <c r="B21" s="1617" t="s">
        <v>928</v>
      </c>
      <c r="C21" s="1616" t="s">
        <v>952</v>
      </c>
      <c r="D21" s="3030" t="s">
        <v>1638</v>
      </c>
      <c r="E21" s="3031"/>
      <c r="F21" s="3031"/>
      <c r="G21" s="3031"/>
      <c r="H21" s="3031"/>
      <c r="I21" s="3031"/>
      <c r="J21" s="3031"/>
      <c r="K21" s="3031"/>
      <c r="L21" s="3032"/>
    </row>
    <row r="22" spans="1:17" ht="28.5" customHeight="1" thickBot="1">
      <c r="A22" s="1565"/>
      <c r="B22" s="1615" t="s">
        <v>905</v>
      </c>
      <c r="C22" s="1614" t="s">
        <v>952</v>
      </c>
      <c r="D22" s="2938"/>
      <c r="E22" s="2939"/>
      <c r="F22" s="2939"/>
      <c r="G22" s="2939"/>
      <c r="H22" s="2939"/>
      <c r="I22" s="2939"/>
      <c r="J22" s="2939"/>
      <c r="K22" s="2939"/>
      <c r="L22" s="2940"/>
    </row>
    <row r="23" spans="1:17" ht="15" customHeight="1" thickBot="1">
      <c r="A23" s="1565"/>
      <c r="B23" s="1601"/>
      <c r="C23" s="1563"/>
      <c r="D23" s="1657"/>
      <c r="E23" s="1563"/>
      <c r="F23" s="1563"/>
      <c r="G23" s="1563"/>
      <c r="H23" s="1563"/>
      <c r="I23" s="1563"/>
      <c r="J23" s="1563"/>
      <c r="K23" s="1563"/>
      <c r="L23" s="1562"/>
    </row>
    <row r="24" spans="1:17" s="1553" customFormat="1" ht="24.75" customHeight="1" thickBot="1">
      <c r="A24" s="1604"/>
      <c r="B24" s="3010" t="s">
        <v>1535</v>
      </c>
      <c r="C24" s="3011"/>
      <c r="D24" s="3011"/>
      <c r="E24" s="3011"/>
      <c r="F24" s="3011"/>
      <c r="G24" s="3011"/>
      <c r="H24" s="3011"/>
      <c r="I24" s="3011"/>
      <c r="J24" s="3011"/>
      <c r="K24" s="3011"/>
      <c r="L24" s="3012"/>
      <c r="M24" s="1558"/>
      <c r="N24" s="1558"/>
      <c r="O24" s="1558"/>
      <c r="P24" s="1558"/>
      <c r="Q24" s="1558"/>
    </row>
    <row r="25" spans="1:17" s="1553" customFormat="1" ht="31.35" customHeight="1">
      <c r="A25" s="1604"/>
      <c r="B25" s="1570"/>
      <c r="C25" s="1563"/>
      <c r="D25" s="1563"/>
      <c r="E25" s="1563"/>
      <c r="F25" s="1563"/>
      <c r="G25" s="1563"/>
      <c r="H25" s="1656"/>
      <c r="I25" s="3000" t="s">
        <v>1639</v>
      </c>
      <c r="J25" s="3000"/>
      <c r="K25" s="3000"/>
      <c r="L25" s="1655" t="s">
        <v>1534</v>
      </c>
      <c r="M25" s="1558"/>
      <c r="N25" s="1558"/>
      <c r="O25" s="1558"/>
      <c r="P25" s="1558"/>
      <c r="Q25" s="1558"/>
    </row>
    <row r="26" spans="1:17" ht="31.35" customHeight="1">
      <c r="A26" s="1565"/>
      <c r="B26" s="3045" t="s">
        <v>1529</v>
      </c>
      <c r="C26" s="3045"/>
      <c r="D26" s="3045"/>
      <c r="E26" s="3046"/>
      <c r="F26" s="3039" t="s">
        <v>1533</v>
      </c>
      <c r="G26" s="3040"/>
      <c r="H26" s="3040"/>
      <c r="I26" s="2937" t="s">
        <v>1618</v>
      </c>
      <c r="J26" s="2937"/>
      <c r="K26" s="2937"/>
      <c r="L26" s="2660" t="s">
        <v>1537</v>
      </c>
    </row>
    <row r="27" spans="1:17" ht="30" customHeight="1" thickBot="1">
      <c r="A27" s="1565"/>
      <c r="B27" s="1570"/>
      <c r="C27" s="1563"/>
      <c r="D27" s="1563"/>
      <c r="E27" s="1563"/>
      <c r="F27" s="1563"/>
      <c r="G27" s="1563"/>
      <c r="H27" s="1563"/>
      <c r="I27" s="3001" t="s">
        <v>1536</v>
      </c>
      <c r="J27" s="3001"/>
      <c r="K27" s="3001"/>
      <c r="L27" s="2663" t="s">
        <v>1640</v>
      </c>
    </row>
    <row r="28" spans="1:17" ht="15" customHeight="1" thickBot="1">
      <c r="A28" s="1565"/>
      <c r="B28" s="1654" t="s">
        <v>1538</v>
      </c>
      <c r="C28" s="1653"/>
      <c r="D28" s="1653"/>
      <c r="E28" s="1653"/>
      <c r="F28" s="1653"/>
      <c r="G28" s="1653"/>
      <c r="H28" s="1653"/>
      <c r="I28" s="1653"/>
      <c r="J28" s="1653"/>
      <c r="K28" s="1653"/>
      <c r="L28" s="1652"/>
    </row>
    <row r="29" spans="1:17" ht="15" customHeight="1">
      <c r="A29" s="1565"/>
      <c r="B29" s="2664" t="s">
        <v>1539</v>
      </c>
      <c r="C29" s="1563"/>
      <c r="D29" s="1563"/>
      <c r="E29" s="1563"/>
      <c r="F29" s="1563"/>
      <c r="G29" s="1563"/>
      <c r="H29" s="1563"/>
      <c r="I29" s="1563"/>
      <c r="J29" s="1563"/>
      <c r="K29" s="1563"/>
      <c r="L29" s="1562"/>
    </row>
    <row r="30" spans="1:17" ht="15" customHeight="1">
      <c r="A30" s="1565"/>
      <c r="B30" s="1563" t="s">
        <v>415</v>
      </c>
      <c r="C30" s="1563"/>
      <c r="D30" s="1563"/>
      <c r="E30" s="1563"/>
      <c r="F30" s="1563"/>
      <c r="G30" s="1563"/>
      <c r="H30" s="1563"/>
      <c r="I30" s="1563"/>
      <c r="J30" s="1563"/>
      <c r="K30" s="1563"/>
      <c r="L30" s="1562"/>
    </row>
    <row r="31" spans="1:17" ht="15" customHeight="1">
      <c r="A31" s="1565"/>
      <c r="B31" s="2636" t="s">
        <v>1641</v>
      </c>
      <c r="C31" s="1563"/>
      <c r="D31" s="1563"/>
      <c r="E31" s="1563"/>
      <c r="F31" s="1563"/>
      <c r="G31" s="1563"/>
      <c r="H31" s="1563"/>
      <c r="I31" s="1563"/>
      <c r="J31" s="1563"/>
      <c r="K31" s="1563"/>
      <c r="L31" s="1562"/>
    </row>
    <row r="32" spans="1:17" ht="15" customHeight="1" thickBot="1">
      <c r="A32" s="1565"/>
      <c r="B32" s="1563"/>
      <c r="C32" s="1563"/>
      <c r="D32" s="1563"/>
      <c r="E32" s="1563"/>
      <c r="F32" s="1563"/>
      <c r="G32" s="1563"/>
      <c r="H32" s="1563"/>
      <c r="I32" s="1563"/>
      <c r="J32" s="1563"/>
      <c r="K32" s="1563"/>
      <c r="L32" s="1562"/>
    </row>
    <row r="33" spans="1:12" s="1552" customFormat="1" ht="15" customHeight="1" thickBot="1">
      <c r="A33" s="1565"/>
      <c r="B33" s="1570" t="s">
        <v>411</v>
      </c>
      <c r="C33" s="1651"/>
      <c r="D33" s="1651"/>
      <c r="E33" s="1651"/>
      <c r="F33" s="1651"/>
      <c r="G33" s="3047" t="s">
        <v>410</v>
      </c>
      <c r="H33" s="3048"/>
      <c r="I33" s="3049"/>
      <c r="J33" s="1563"/>
      <c r="K33" s="1563"/>
      <c r="L33" s="1562"/>
    </row>
    <row r="34" spans="1:12" s="1552" customFormat="1" ht="15" customHeight="1">
      <c r="A34" s="1565"/>
      <c r="B34" s="2664" t="s">
        <v>1642</v>
      </c>
      <c r="C34" s="1563"/>
      <c r="D34" s="1563"/>
      <c r="E34" s="1563"/>
      <c r="F34" s="1563"/>
      <c r="G34" s="1563"/>
      <c r="H34" s="1563"/>
      <c r="I34" s="1563"/>
      <c r="J34" s="1563"/>
      <c r="K34" s="1563"/>
      <c r="L34" s="1562"/>
    </row>
    <row r="35" spans="1:12" s="1552" customFormat="1" ht="8.25" customHeight="1">
      <c r="A35" s="1565"/>
      <c r="B35" s="1650"/>
      <c r="C35" s="1563"/>
      <c r="D35" s="1563"/>
      <c r="E35" s="1563"/>
      <c r="F35" s="1563"/>
      <c r="G35" s="1563"/>
      <c r="H35" s="1563"/>
      <c r="I35" s="1563"/>
      <c r="J35" s="1563"/>
      <c r="K35" s="1563"/>
      <c r="L35" s="1562"/>
    </row>
    <row r="36" spans="1:12" s="1558" customFormat="1" ht="28.5" customHeight="1">
      <c r="A36" s="1604"/>
      <c r="B36" s="1569" t="s">
        <v>412</v>
      </c>
      <c r="C36" s="1563"/>
      <c r="D36" s="2893"/>
      <c r="E36" s="2876"/>
      <c r="F36" s="2877"/>
      <c r="G36" s="1563"/>
      <c r="H36" s="1563"/>
      <c r="I36" s="1563"/>
      <c r="J36" s="1563"/>
      <c r="K36" s="1563"/>
      <c r="L36" s="1649" t="s">
        <v>409</v>
      </c>
    </row>
    <row r="37" spans="1:12" s="1558" customFormat="1" ht="33.75" customHeight="1">
      <c r="A37" s="1604"/>
      <c r="B37" s="1570"/>
      <c r="C37" s="1563"/>
      <c r="D37" s="3002" t="s">
        <v>447</v>
      </c>
      <c r="E37" s="3002"/>
      <c r="F37" s="3002"/>
      <c r="G37" s="1563"/>
      <c r="H37" s="2887" t="s">
        <v>446</v>
      </c>
      <c r="I37" s="2887"/>
      <c r="J37" s="2887"/>
      <c r="K37" s="1563"/>
      <c r="L37" s="1562"/>
    </row>
    <row r="38" spans="1:12" s="1552" customFormat="1" ht="3" customHeight="1">
      <c r="A38" s="1565"/>
      <c r="B38" s="1602"/>
      <c r="C38" s="1601"/>
      <c r="D38" s="1563"/>
      <c r="E38" s="1563"/>
      <c r="F38" s="1563"/>
      <c r="G38" s="1563"/>
      <c r="H38" s="3041"/>
      <c r="I38" s="3041"/>
      <c r="J38" s="3041"/>
      <c r="K38" s="1563"/>
      <c r="L38" s="1562"/>
    </row>
    <row r="39" spans="1:12" s="1552" customFormat="1" ht="15" customHeight="1">
      <c r="A39" s="1565"/>
      <c r="B39" s="1602" t="s">
        <v>1643</v>
      </c>
      <c r="C39" s="1568"/>
      <c r="D39" s="1563"/>
      <c r="E39" s="1563"/>
      <c r="F39" s="1563"/>
      <c r="G39" s="1563"/>
      <c r="H39" s="1563"/>
      <c r="I39" s="1563"/>
      <c r="J39" s="1563"/>
      <c r="K39" s="1563"/>
      <c r="L39" s="1562"/>
    </row>
    <row r="40" spans="1:12" s="1552" customFormat="1" ht="15" customHeight="1">
      <c r="A40" s="1565"/>
      <c r="B40" s="1648"/>
      <c r="C40" s="1568" t="s">
        <v>432</v>
      </c>
      <c r="D40" s="2893" t="s">
        <v>408</v>
      </c>
      <c r="E40" s="2876"/>
      <c r="F40" s="2877"/>
      <c r="G40" s="1563"/>
      <c r="H40" s="3042" t="str">
        <f>D40</f>
        <v>Помірно-вологий</v>
      </c>
      <c r="I40" s="3043"/>
      <c r="J40" s="3044"/>
      <c r="K40" s="1563"/>
      <c r="L40" s="1562" t="s">
        <v>431</v>
      </c>
    </row>
    <row r="41" spans="1:12" s="1552" customFormat="1" ht="15" customHeight="1">
      <c r="A41" s="1565"/>
      <c r="B41" s="1563"/>
      <c r="C41" s="1568" t="s">
        <v>1623</v>
      </c>
      <c r="D41" s="2875" t="s">
        <v>1522</v>
      </c>
      <c r="E41" s="2876"/>
      <c r="F41" s="2877"/>
      <c r="G41" s="1563"/>
      <c r="H41" s="3042" t="str">
        <f>D41</f>
        <v>Високоактивний глинозем</v>
      </c>
      <c r="I41" s="3043"/>
      <c r="J41" s="3044"/>
      <c r="K41" s="1563"/>
      <c r="L41" s="1562" t="s">
        <v>430</v>
      </c>
    </row>
    <row r="42" spans="1:12" s="1552" customFormat="1" ht="15" customHeight="1">
      <c r="A42" s="1565"/>
      <c r="B42" s="1563"/>
      <c r="C42" s="1568" t="s">
        <v>1644</v>
      </c>
      <c r="D42" s="2893" t="s">
        <v>407</v>
      </c>
      <c r="E42" s="2876"/>
      <c r="F42" s="2877"/>
      <c r="G42" s="1563"/>
      <c r="H42" s="2875" t="s">
        <v>406</v>
      </c>
      <c r="I42" s="2876"/>
      <c r="J42" s="2877"/>
      <c r="K42" s="1563"/>
      <c r="L42" s="1573" t="s">
        <v>424</v>
      </c>
    </row>
    <row r="43" spans="1:12" s="1552" customFormat="1" ht="15" customHeight="1">
      <c r="A43" s="1565"/>
      <c r="B43" s="1563"/>
      <c r="C43" s="1568" t="s">
        <v>426</v>
      </c>
      <c r="D43" s="2893" t="s">
        <v>405</v>
      </c>
      <c r="E43" s="2876"/>
      <c r="F43" s="2877"/>
      <c r="G43" s="1563"/>
      <c r="H43" s="2875" t="s">
        <v>1542</v>
      </c>
      <c r="I43" s="2876"/>
      <c r="J43" s="2877"/>
      <c r="K43" s="1563"/>
      <c r="L43" s="1573" t="s">
        <v>424</v>
      </c>
    </row>
    <row r="44" spans="1:12" s="1552" customFormat="1" ht="15" customHeight="1">
      <c r="A44" s="1565"/>
      <c r="B44" s="1563"/>
      <c r="C44" s="1568"/>
      <c r="D44" s="1563"/>
      <c r="E44" s="1563"/>
      <c r="F44" s="1563"/>
      <c r="G44" s="1563"/>
      <c r="H44" s="1563"/>
      <c r="I44" s="1563"/>
      <c r="J44" s="1563"/>
      <c r="K44" s="1563"/>
      <c r="L44" s="1562"/>
    </row>
    <row r="45" spans="1:12" s="1552" customFormat="1" ht="15" customHeight="1">
      <c r="A45" s="1565"/>
      <c r="B45" s="1563"/>
      <c r="C45" s="1568" t="s">
        <v>921</v>
      </c>
      <c r="D45" s="1594">
        <v>88</v>
      </c>
      <c r="E45" s="2636" t="s">
        <v>10</v>
      </c>
      <c r="F45" s="1563"/>
      <c r="G45" s="1563"/>
      <c r="H45" s="1647">
        <f>D45</f>
        <v>88</v>
      </c>
      <c r="I45" s="2636" t="s">
        <v>10</v>
      </c>
      <c r="J45" s="1563"/>
      <c r="K45" s="1563"/>
      <c r="L45" s="1562" t="s">
        <v>1626</v>
      </c>
    </row>
    <row r="46" spans="1:12" s="1552" customFormat="1" ht="15" customHeight="1">
      <c r="A46" s="1565"/>
      <c r="B46" s="1563"/>
      <c r="C46" s="1568" t="s">
        <v>927</v>
      </c>
      <c r="D46" s="1594">
        <v>0.69</v>
      </c>
      <c r="E46" s="1563"/>
      <c r="F46" s="1563"/>
      <c r="G46" s="1563"/>
      <c r="H46" s="1647">
        <f>D46</f>
        <v>0.69</v>
      </c>
      <c r="I46" s="1563"/>
      <c r="J46" s="1563"/>
      <c r="K46" s="1563"/>
      <c r="L46" s="1562" t="s">
        <v>419</v>
      </c>
    </row>
    <row r="47" spans="1:12" s="1552" customFormat="1" ht="15" customHeight="1">
      <c r="A47" s="1565"/>
      <c r="B47" s="1563"/>
      <c r="C47" s="1568" t="s">
        <v>928</v>
      </c>
      <c r="D47" s="1591">
        <v>1.1499999999999999</v>
      </c>
      <c r="E47" s="1563"/>
      <c r="F47" s="1563"/>
      <c r="G47" s="1563"/>
      <c r="H47" s="1591">
        <v>1</v>
      </c>
      <c r="I47" s="1563"/>
      <c r="J47" s="1563"/>
      <c r="K47" s="1563"/>
      <c r="L47" s="1562" t="s">
        <v>419</v>
      </c>
    </row>
    <row r="48" spans="1:12" s="1552" customFormat="1" ht="15" customHeight="1">
      <c r="A48" s="1565"/>
      <c r="B48" s="1563"/>
      <c r="C48" s="1568" t="s">
        <v>905</v>
      </c>
      <c r="D48" s="1591">
        <v>1</v>
      </c>
      <c r="E48" s="1563"/>
      <c r="F48" s="1563"/>
      <c r="G48" s="1563"/>
      <c r="H48" s="1591">
        <v>1.1100000000000001</v>
      </c>
      <c r="I48" s="1563"/>
      <c r="J48" s="1563"/>
      <c r="K48" s="1563"/>
      <c r="L48" s="1562" t="s">
        <v>419</v>
      </c>
    </row>
    <row r="49" spans="1:12" s="1552" customFormat="1" ht="15" customHeight="1">
      <c r="A49" s="1565"/>
      <c r="B49" s="1563"/>
      <c r="C49" s="1563"/>
      <c r="D49" s="1563"/>
      <c r="E49" s="1563"/>
      <c r="F49" s="1563"/>
      <c r="G49" s="1563"/>
      <c r="H49" s="1563"/>
      <c r="I49" s="1563"/>
      <c r="J49" s="1563"/>
      <c r="K49" s="1563"/>
      <c r="L49" s="1562"/>
    </row>
    <row r="50" spans="1:12" s="1552" customFormat="1" ht="15" customHeight="1">
      <c r="A50" s="1565"/>
      <c r="B50" s="1570"/>
      <c r="C50" s="1563"/>
      <c r="D50" s="1563"/>
      <c r="E50" s="1563"/>
      <c r="F50" s="1563"/>
      <c r="G50" s="1563"/>
      <c r="H50" s="1563"/>
      <c r="I50" s="1563"/>
      <c r="J50" s="1563"/>
      <c r="K50" s="1563"/>
      <c r="L50" s="1562"/>
    </row>
    <row r="51" spans="1:12" s="1552" customFormat="1" ht="15" customHeight="1">
      <c r="A51" s="1565"/>
      <c r="B51" s="1570" t="s">
        <v>417</v>
      </c>
      <c r="C51" s="1563"/>
      <c r="D51" s="1575" t="s">
        <v>460</v>
      </c>
      <c r="E51" s="1567">
        <f>(D45*D46*(IF(AND(D47&gt;0,D47&lt;1000),D47,1))*(IF(AND(D48&gt;0,D48&lt;1000),D48,1)))</f>
        <v>69.827999999999989</v>
      </c>
      <c r="F51" s="2636" t="s">
        <v>10</v>
      </c>
      <c r="G51" s="1563"/>
      <c r="H51" s="1599" t="s">
        <v>459</v>
      </c>
      <c r="I51" s="1646">
        <f>(H45*H46*(IF(AND(H47&gt;0,H47&lt;1000),H47,1))*(IF(AND(H48&gt;0,H48&lt;1000),H48,1)))</f>
        <v>67.399200000000008</v>
      </c>
      <c r="J51" s="2636" t="s">
        <v>10</v>
      </c>
      <c r="K51" s="1563"/>
      <c r="L51" s="1562"/>
    </row>
    <row r="52" spans="1:12" s="1552" customFormat="1" ht="15" customHeight="1">
      <c r="A52" s="1565"/>
      <c r="B52" s="1570" t="s">
        <v>401</v>
      </c>
      <c r="C52" s="1563"/>
      <c r="D52" s="1572" t="s">
        <v>823</v>
      </c>
      <c r="E52" s="1571">
        <f>-([5]Esca!I$51-[5]Esca!E$51)*3.664/20</f>
        <v>0.44495615999999655</v>
      </c>
      <c r="F52" s="2635" t="s">
        <v>1</v>
      </c>
      <c r="G52" s="1563"/>
      <c r="H52" s="1568"/>
      <c r="I52" s="1567"/>
      <c r="J52" s="1563"/>
      <c r="K52" s="1563"/>
      <c r="L52" s="1562" t="s">
        <v>1650</v>
      </c>
    </row>
    <row r="53" spans="1:12" s="1552" customFormat="1" ht="15" customHeight="1">
      <c r="A53" s="1565"/>
      <c r="B53" s="1570"/>
      <c r="C53" s="1563"/>
      <c r="D53" s="1568"/>
      <c r="E53" s="1567"/>
      <c r="F53" s="1563"/>
      <c r="G53" s="1563"/>
      <c r="H53" s="1568"/>
      <c r="I53" s="1567"/>
      <c r="J53" s="1563"/>
      <c r="K53" s="1563"/>
      <c r="L53" s="1562"/>
    </row>
    <row r="54" spans="1:12" s="1552" customFormat="1" ht="15" customHeight="1">
      <c r="A54" s="1565"/>
      <c r="B54" s="1645" t="s">
        <v>1645</v>
      </c>
      <c r="C54" s="1644"/>
      <c r="D54" s="1644"/>
      <c r="E54" s="1644"/>
      <c r="F54" s="1644"/>
      <c r="G54" s="1644"/>
      <c r="H54" s="1644"/>
      <c r="I54" s="1644"/>
      <c r="J54" s="1644"/>
      <c r="K54" s="1644"/>
      <c r="L54" s="1643"/>
    </row>
    <row r="55" spans="1:12" s="1552" customFormat="1" ht="15" customHeight="1">
      <c r="A55" s="1565"/>
      <c r="B55" s="2664" t="s">
        <v>1630</v>
      </c>
      <c r="C55" s="1563"/>
      <c r="D55" s="1568"/>
      <c r="E55" s="1567"/>
      <c r="F55" s="1563"/>
      <c r="G55" s="1563"/>
      <c r="H55" s="1568"/>
      <c r="I55" s="1567"/>
      <c r="J55" s="1563"/>
      <c r="K55" s="1563"/>
      <c r="L55" s="1562"/>
    </row>
    <row r="56" spans="1:12" s="1552" customFormat="1" ht="15" customHeight="1">
      <c r="A56" s="1565"/>
      <c r="B56" s="1569"/>
      <c r="C56" s="1563"/>
      <c r="D56" s="1568"/>
      <c r="E56" s="1567"/>
      <c r="F56" s="1563"/>
      <c r="G56" s="1563"/>
      <c r="H56" s="1568"/>
      <c r="I56" s="1567"/>
      <c r="J56" s="1563"/>
      <c r="K56" s="1563"/>
      <c r="L56" s="1562"/>
    </row>
    <row r="57" spans="1:12" s="1552" customFormat="1" ht="15" customHeight="1">
      <c r="A57" s="1565"/>
      <c r="B57" s="1570" t="s">
        <v>404</v>
      </c>
      <c r="C57" s="1563"/>
      <c r="D57" s="1568"/>
      <c r="E57" s="1567"/>
      <c r="F57" s="1563"/>
      <c r="G57" s="1563"/>
      <c r="H57" s="1568"/>
      <c r="I57" s="1567"/>
      <c r="J57" s="1563"/>
      <c r="K57" s="1563"/>
      <c r="L57" s="1562"/>
    </row>
    <row r="58" spans="1:12" s="1552" customFormat="1" ht="15" customHeight="1">
      <c r="A58" s="1565"/>
      <c r="B58" s="1580" t="s">
        <v>473</v>
      </c>
      <c r="C58" s="1563"/>
      <c r="D58" s="3003"/>
      <c r="E58" s="3004"/>
      <c r="F58" s="3004"/>
      <c r="G58" s="3004"/>
      <c r="H58" s="3004"/>
      <c r="I58" s="3005"/>
      <c r="J58" s="1642"/>
      <c r="K58" s="1642"/>
      <c r="L58" s="1641"/>
    </row>
    <row r="59" spans="1:12" s="1552" customFormat="1" ht="15" customHeight="1">
      <c r="A59" s="1565"/>
      <c r="B59" s="1569" t="s">
        <v>472</v>
      </c>
      <c r="C59" s="1569"/>
      <c r="D59" s="3006"/>
      <c r="E59" s="3007"/>
      <c r="F59" s="3007"/>
      <c r="G59" s="3007"/>
      <c r="H59" s="3007"/>
      <c r="I59" s="3008"/>
      <c r="J59" s="3009" t="s">
        <v>403</v>
      </c>
      <c r="K59" s="2903"/>
      <c r="L59" s="1573" t="s">
        <v>470</v>
      </c>
    </row>
    <row r="60" spans="1:12" s="1552" customFormat="1" ht="15" customHeight="1">
      <c r="A60" s="1565"/>
      <c r="B60" s="1569"/>
      <c r="C60" s="1569"/>
      <c r="D60" s="2919"/>
      <c r="E60" s="2920"/>
      <c r="F60" s="2920"/>
      <c r="G60" s="2920"/>
      <c r="H60" s="2920"/>
      <c r="I60" s="2921"/>
      <c r="J60" s="1563"/>
      <c r="K60" s="1563"/>
      <c r="L60" s="1573" t="s">
        <v>469</v>
      </c>
    </row>
    <row r="61" spans="1:12" s="1552" customFormat="1" ht="15" customHeight="1">
      <c r="A61" s="1565"/>
      <c r="B61" s="1569"/>
      <c r="C61" s="1569"/>
      <c r="D61" s="2919"/>
      <c r="E61" s="2920"/>
      <c r="F61" s="2920"/>
      <c r="G61" s="2920"/>
      <c r="H61" s="2920"/>
      <c r="I61" s="2921"/>
      <c r="J61" s="1563"/>
      <c r="K61" s="1563"/>
      <c r="L61" s="2684" t="s">
        <v>1651</v>
      </c>
    </row>
    <row r="62" spans="1:12" s="1552" customFormat="1" ht="15" customHeight="1">
      <c r="A62" s="1565"/>
      <c r="B62" s="1569"/>
      <c r="C62" s="1569"/>
      <c r="D62" s="2919"/>
      <c r="E62" s="2920"/>
      <c r="F62" s="2920"/>
      <c r="G62" s="2920"/>
      <c r="H62" s="2920"/>
      <c r="I62" s="2921"/>
      <c r="J62" s="1563"/>
      <c r="K62" s="1563"/>
      <c r="L62" s="1562"/>
    </row>
    <row r="63" spans="1:12" s="1552" customFormat="1" ht="15" customHeight="1">
      <c r="A63" s="1565"/>
      <c r="B63" s="1569"/>
      <c r="C63" s="1569"/>
      <c r="D63" s="2904"/>
      <c r="E63" s="2905"/>
      <c r="F63" s="2905"/>
      <c r="G63" s="2905"/>
      <c r="H63" s="2905"/>
      <c r="I63" s="2906"/>
      <c r="J63" s="1563"/>
      <c r="K63" s="1563"/>
      <c r="L63" s="1562"/>
    </row>
    <row r="64" spans="1:12" s="1552" customFormat="1" ht="15" customHeight="1">
      <c r="A64" s="1565"/>
      <c r="B64" s="1570"/>
      <c r="C64" s="1563"/>
      <c r="D64" s="1568"/>
      <c r="E64" s="1567"/>
      <c r="F64" s="1563"/>
      <c r="G64" s="1563"/>
      <c r="H64" s="1568"/>
      <c r="I64" s="1567"/>
      <c r="J64" s="1563"/>
      <c r="K64" s="1563"/>
      <c r="L64" s="1562"/>
    </row>
    <row r="65" spans="1:12" s="1552" customFormat="1" ht="15" customHeight="1">
      <c r="A65" s="1565"/>
      <c r="B65" s="1640" t="s">
        <v>402</v>
      </c>
      <c r="C65" s="1563"/>
      <c r="D65" s="1568"/>
      <c r="E65" s="1567"/>
      <c r="F65" s="1563"/>
      <c r="G65" s="1563"/>
      <c r="H65" s="1568"/>
      <c r="I65" s="1567"/>
      <c r="J65" s="1563"/>
      <c r="K65" s="1563"/>
      <c r="L65" s="1562"/>
    </row>
    <row r="66" spans="1:12" s="1552" customFormat="1" ht="15" customHeight="1">
      <c r="A66" s="1565"/>
      <c r="B66" s="2664" t="s">
        <v>1646</v>
      </c>
      <c r="C66" s="1563"/>
      <c r="D66" s="1568"/>
      <c r="E66" s="1567"/>
      <c r="F66" s="1563"/>
      <c r="G66" s="1563"/>
      <c r="H66" s="1568"/>
      <c r="I66" s="1567"/>
      <c r="J66" s="1563"/>
      <c r="K66" s="1563"/>
      <c r="L66" s="1562"/>
    </row>
    <row r="67" spans="1:12" s="1552" customFormat="1" ht="15" customHeight="1">
      <c r="A67" s="1565"/>
      <c r="B67" s="1570"/>
      <c r="C67" s="1575" t="s">
        <v>465</v>
      </c>
      <c r="D67" s="1568"/>
      <c r="E67" s="1577"/>
      <c r="F67" s="1563"/>
      <c r="G67" s="1639"/>
      <c r="H67" s="1639"/>
      <c r="I67" s="1567"/>
      <c r="J67" s="1563"/>
      <c r="K67" s="1563"/>
      <c r="L67" s="1562"/>
    </row>
    <row r="68" spans="1:12" s="1552" customFormat="1" ht="15" customHeight="1">
      <c r="A68" s="1565"/>
      <c r="B68" s="1570"/>
      <c r="C68" s="2683" t="s">
        <v>1647</v>
      </c>
      <c r="D68" s="1568"/>
      <c r="E68" s="1577"/>
      <c r="F68" s="1563"/>
      <c r="G68" s="1639"/>
      <c r="H68" s="1639"/>
      <c r="I68" s="1567"/>
      <c r="J68" s="1563"/>
      <c r="K68" s="1563"/>
      <c r="L68" s="1562"/>
    </row>
    <row r="69" spans="1:12" s="1552" customFormat="1" ht="15" customHeight="1">
      <c r="A69" s="1565"/>
      <c r="B69" s="1570"/>
      <c r="C69" s="1575" t="s">
        <v>463</v>
      </c>
      <c r="D69" s="1568"/>
      <c r="E69" s="1577"/>
      <c r="F69" s="1563"/>
      <c r="G69" s="1639"/>
      <c r="H69" s="1639"/>
      <c r="I69" s="1567"/>
      <c r="J69" s="1563"/>
      <c r="K69" s="1563"/>
      <c r="L69" s="1562"/>
    </row>
    <row r="70" spans="1:12" s="1552" customFormat="1" ht="15" customHeight="1">
      <c r="A70" s="1565"/>
      <c r="B70" s="1570"/>
      <c r="C70" s="1575" t="s">
        <v>462</v>
      </c>
      <c r="D70" s="1568"/>
      <c r="E70" s="1577"/>
      <c r="F70" s="1563"/>
      <c r="G70" s="1639"/>
      <c r="H70" s="1639"/>
      <c r="I70" s="1567"/>
      <c r="J70" s="1563"/>
      <c r="K70" s="1563"/>
      <c r="L70" s="1562"/>
    </row>
    <row r="71" spans="1:12" s="1552" customFormat="1" ht="15" customHeight="1">
      <c r="A71" s="1565"/>
      <c r="B71" s="1570"/>
      <c r="C71" s="1569"/>
      <c r="D71" s="1568"/>
      <c r="E71" s="1567"/>
      <c r="F71" s="1563"/>
      <c r="G71" s="1638"/>
      <c r="H71" s="1637"/>
      <c r="I71" s="1567"/>
      <c r="J71" s="1563"/>
      <c r="K71" s="1563"/>
      <c r="L71" s="1562"/>
    </row>
    <row r="72" spans="1:12" s="1552" customFormat="1" ht="15" customHeight="1">
      <c r="A72" s="1565"/>
      <c r="B72" s="1570" t="s">
        <v>417</v>
      </c>
      <c r="C72" s="1563"/>
      <c r="D72" s="1599" t="s">
        <v>460</v>
      </c>
      <c r="E72" s="1574"/>
      <c r="F72" s="2636" t="s">
        <v>10</v>
      </c>
      <c r="G72" s="1563"/>
      <c r="H72" s="1599" t="s">
        <v>459</v>
      </c>
      <c r="I72" s="1574"/>
      <c r="J72" s="2636" t="s">
        <v>10</v>
      </c>
      <c r="K72" s="1563"/>
      <c r="L72" s="1573" t="s">
        <v>458</v>
      </c>
    </row>
    <row r="73" spans="1:12" s="1552" customFormat="1" ht="15" customHeight="1">
      <c r="A73" s="1565"/>
      <c r="B73" s="1570" t="s">
        <v>1648</v>
      </c>
      <c r="C73" s="1563"/>
      <c r="D73" s="1572" t="s">
        <v>823</v>
      </c>
      <c r="E73" s="1571" t="e">
        <f>-([5]Esca!I$72-[5]Esca!E$72)*3.664/20</f>
        <v>#REF!</v>
      </c>
      <c r="F73" s="2635" t="s">
        <v>2</v>
      </c>
      <c r="G73" s="1563"/>
      <c r="H73" s="1568"/>
      <c r="I73" s="1567"/>
      <c r="J73" s="1563"/>
      <c r="K73" s="1563"/>
      <c r="L73" s="1562" t="s">
        <v>1650</v>
      </c>
    </row>
    <row r="74" spans="1:12" s="1552" customFormat="1" ht="15" customHeight="1">
      <c r="A74" s="1565"/>
      <c r="B74" s="1570"/>
      <c r="C74" s="1569"/>
      <c r="D74" s="1568"/>
      <c r="E74" s="1567"/>
      <c r="F74" s="1563"/>
      <c r="G74" s="1563"/>
      <c r="H74" s="1568"/>
      <c r="I74" s="1567"/>
      <c r="J74" s="1563"/>
      <c r="K74" s="1563"/>
      <c r="L74" s="1562"/>
    </row>
    <row r="75" spans="1:12" s="1552" customFormat="1" ht="15" customHeight="1">
      <c r="A75" s="1565"/>
      <c r="B75" s="1570"/>
      <c r="C75" s="1569"/>
      <c r="D75" s="1568"/>
      <c r="E75" s="1567"/>
      <c r="F75" s="1563"/>
      <c r="G75" s="1563"/>
      <c r="H75" s="1568"/>
      <c r="I75" s="1567"/>
      <c r="J75" s="1563"/>
      <c r="K75" s="1563"/>
      <c r="L75" s="1562"/>
    </row>
    <row r="76" spans="1:12" s="1552" customFormat="1" ht="15" customHeight="1">
      <c r="A76" s="1565"/>
      <c r="B76" s="1570"/>
      <c r="C76" s="1569"/>
      <c r="D76" s="1568"/>
      <c r="E76" s="1567"/>
      <c r="F76" s="1563"/>
      <c r="G76" s="1563"/>
      <c r="H76" s="1568"/>
      <c r="I76" s="1567"/>
      <c r="J76" s="1563"/>
      <c r="K76" s="1563"/>
      <c r="L76" s="1562"/>
    </row>
    <row r="77" spans="1:12" s="1552" customFormat="1" ht="32.450000000000003" customHeight="1">
      <c r="A77" s="1565"/>
      <c r="B77" s="2998" t="s">
        <v>1649</v>
      </c>
      <c r="C77" s="2999"/>
      <c r="D77" s="2997" t="str">
        <f>IF(F26=I25,B28,IF(F26=I26,B54,IF(F26=I27,B54,B28)))</f>
        <v xml:space="preserve">Опція 1. Розрахунки за замовчуванням (немає фактичних та точних даних) </v>
      </c>
      <c r="E77" s="2997"/>
      <c r="F77" s="2997"/>
      <c r="G77" s="2997"/>
      <c r="H77" s="2997"/>
      <c r="I77" s="2997"/>
      <c r="J77" s="1636">
        <f>IF(F26=I25,E52,IF(F26=I26,E73,IF(F26=I27,E73,E52)))</f>
        <v>0.44495615999999655</v>
      </c>
      <c r="K77" s="1635" t="s">
        <v>3</v>
      </c>
      <c r="L77" s="1634"/>
    </row>
    <row r="78" spans="1:12" s="1552" customFormat="1" ht="15" customHeight="1">
      <c r="A78" s="1565"/>
      <c r="B78" s="1570"/>
      <c r="C78" s="1569"/>
      <c r="D78" s="1568"/>
      <c r="E78" s="1567"/>
      <c r="F78" s="1563"/>
      <c r="G78" s="1563"/>
      <c r="H78" s="1568"/>
      <c r="I78" s="1567"/>
      <c r="J78" s="1563"/>
      <c r="K78" s="1563"/>
      <c r="L78" s="1562"/>
    </row>
    <row r="79" spans="1:12" s="1552" customFormat="1" ht="15.75" thickBot="1">
      <c r="A79" s="1561"/>
      <c r="B79" s="1560"/>
      <c r="C79" s="1560"/>
      <c r="D79" s="1560"/>
      <c r="E79" s="1560"/>
      <c r="F79" s="1560"/>
      <c r="G79" s="1560"/>
      <c r="H79" s="1560"/>
      <c r="I79" s="1560"/>
      <c r="J79" s="1560"/>
      <c r="K79" s="1560"/>
      <c r="L79" s="1559"/>
    </row>
    <row r="80" spans="1:12" s="1552" customFormat="1">
      <c r="A80" s="1557"/>
      <c r="B80" s="1558"/>
      <c r="C80" s="1558"/>
      <c r="D80" s="1558"/>
      <c r="E80" s="1558"/>
      <c r="F80" s="1558"/>
      <c r="G80" s="1558"/>
      <c r="H80" s="1558"/>
      <c r="I80" s="1558"/>
      <c r="J80" s="1558"/>
      <c r="K80" s="1558"/>
      <c r="L80" s="1558"/>
    </row>
    <row r="81" spans="1:12" s="1552" customFormat="1">
      <c r="A81" s="1557"/>
      <c r="B81" s="1558"/>
      <c r="C81" s="1558"/>
      <c r="D81" s="1558"/>
      <c r="E81" s="1558"/>
      <c r="F81" s="1558"/>
      <c r="G81" s="1558"/>
      <c r="H81" s="1558"/>
      <c r="I81" s="1558"/>
      <c r="J81" s="1558"/>
      <c r="K81" s="1558"/>
      <c r="L81" s="1558"/>
    </row>
    <row r="82" spans="1:12" s="1552" customFormat="1">
      <c r="A82" s="1557"/>
      <c r="B82" s="1558"/>
      <c r="C82" s="1558"/>
      <c r="D82" s="1558"/>
      <c r="E82" s="1558"/>
      <c r="F82" s="1558"/>
      <c r="G82" s="1558"/>
      <c r="H82" s="1558"/>
      <c r="I82" s="1558"/>
      <c r="J82" s="1558"/>
      <c r="K82" s="1558"/>
      <c r="L82" s="1558"/>
    </row>
    <row r="83" spans="1:12" s="1552" customFormat="1">
      <c r="A83" s="1557"/>
      <c r="B83" s="1558"/>
      <c r="C83" s="1558"/>
      <c r="D83" s="1558"/>
      <c r="E83" s="1558"/>
      <c r="F83" s="1558"/>
      <c r="G83" s="1558"/>
      <c r="H83" s="1558"/>
      <c r="I83" s="1558"/>
      <c r="J83" s="1558"/>
      <c r="K83" s="1558"/>
      <c r="L83" s="1558"/>
    </row>
    <row r="84" spans="1:12" s="1552" customFormat="1">
      <c r="A84" s="1557"/>
      <c r="B84" s="1558"/>
      <c r="C84" s="1558"/>
      <c r="D84" s="1558"/>
      <c r="E84" s="1558"/>
      <c r="F84" s="1558"/>
      <c r="G84" s="1558"/>
      <c r="H84" s="1558"/>
      <c r="I84" s="1558"/>
      <c r="J84" s="1558"/>
      <c r="K84" s="1558"/>
      <c r="L84" s="1558"/>
    </row>
    <row r="85" spans="1:12" s="1552" customFormat="1">
      <c r="A85" s="1557"/>
      <c r="B85" s="1558"/>
      <c r="C85" s="1558"/>
      <c r="D85" s="1558"/>
      <c r="E85" s="1558"/>
      <c r="F85" s="1558"/>
      <c r="G85" s="1558"/>
      <c r="H85" s="1558"/>
      <c r="I85" s="1558"/>
      <c r="J85" s="1558"/>
      <c r="K85" s="1558"/>
      <c r="L85" s="1558"/>
    </row>
    <row r="86" spans="1:12" s="1552" customFormat="1">
      <c r="A86" s="1557"/>
      <c r="B86" s="1558"/>
      <c r="C86" s="1558"/>
      <c r="D86" s="1558"/>
      <c r="E86" s="1558"/>
      <c r="F86" s="1558"/>
      <c r="G86" s="1558"/>
      <c r="H86" s="1558"/>
      <c r="I86" s="1558"/>
      <c r="J86" s="1558"/>
      <c r="K86" s="1558"/>
      <c r="L86" s="1558"/>
    </row>
    <row r="87" spans="1:12" s="1552" customFormat="1">
      <c r="A87" s="1557"/>
      <c r="B87" s="1558"/>
      <c r="C87" s="1558"/>
      <c r="D87" s="1558"/>
      <c r="E87" s="1558"/>
      <c r="F87" s="1558"/>
      <c r="G87" s="1558"/>
      <c r="H87" s="1558"/>
      <c r="I87" s="1558"/>
      <c r="J87" s="1558"/>
      <c r="K87" s="1558"/>
      <c r="L87" s="1558"/>
    </row>
    <row r="88" spans="1:12" s="1552" customFormat="1">
      <c r="A88" s="1557"/>
      <c r="B88" s="1558"/>
      <c r="C88" s="1558"/>
      <c r="D88" s="1558"/>
      <c r="E88" s="1558"/>
      <c r="F88" s="1558"/>
      <c r="G88" s="1558"/>
      <c r="H88" s="1558"/>
      <c r="I88" s="1558"/>
      <c r="J88" s="1558"/>
      <c r="K88" s="1558"/>
      <c r="L88" s="1558"/>
    </row>
    <row r="89" spans="1:12" s="1552" customFormat="1">
      <c r="A89" s="1557"/>
      <c r="B89" s="1558"/>
      <c r="C89" s="1558"/>
      <c r="D89" s="1558"/>
      <c r="E89" s="1558"/>
      <c r="F89" s="1558"/>
      <c r="G89" s="1558"/>
      <c r="H89" s="1558"/>
      <c r="I89" s="1558"/>
      <c r="J89" s="1558"/>
      <c r="K89" s="1558"/>
      <c r="L89" s="1558"/>
    </row>
    <row r="90" spans="1:12" s="1552" customFormat="1">
      <c r="A90" s="1557"/>
      <c r="B90" s="1558"/>
      <c r="C90" s="1558"/>
      <c r="D90" s="1558"/>
      <c r="E90" s="1558"/>
      <c r="F90" s="1558"/>
      <c r="G90" s="1558"/>
      <c r="H90" s="1558"/>
      <c r="I90" s="1558"/>
      <c r="J90" s="1558"/>
      <c r="K90" s="1558"/>
      <c r="L90" s="1558"/>
    </row>
  </sheetData>
  <mergeCells count="42">
    <mergeCell ref="D60:I60"/>
    <mergeCell ref="H43:J43"/>
    <mergeCell ref="F26:H26"/>
    <mergeCell ref="D36:F36"/>
    <mergeCell ref="H38:J38"/>
    <mergeCell ref="D40:F40"/>
    <mergeCell ref="H40:J40"/>
    <mergeCell ref="D41:F41"/>
    <mergeCell ref="H41:J41"/>
    <mergeCell ref="B26:E26"/>
    <mergeCell ref="G33:I33"/>
    <mergeCell ref="B24:L24"/>
    <mergeCell ref="D22:L22"/>
    <mergeCell ref="A2:L2"/>
    <mergeCell ref="B6:L6"/>
    <mergeCell ref="B9:L9"/>
    <mergeCell ref="D15:L15"/>
    <mergeCell ref="B5:L5"/>
    <mergeCell ref="F8:L8"/>
    <mergeCell ref="D16:L16"/>
    <mergeCell ref="B17:C19"/>
    <mergeCell ref="B8:E8"/>
    <mergeCell ref="D17:L17"/>
    <mergeCell ref="D21:L21"/>
    <mergeCell ref="D20:L20"/>
    <mergeCell ref="D18:L19"/>
    <mergeCell ref="D77:I77"/>
    <mergeCell ref="B77:C77"/>
    <mergeCell ref="I25:K25"/>
    <mergeCell ref="I26:K26"/>
    <mergeCell ref="I27:K27"/>
    <mergeCell ref="D37:F37"/>
    <mergeCell ref="D63:I63"/>
    <mergeCell ref="D58:I58"/>
    <mergeCell ref="D59:I59"/>
    <mergeCell ref="D42:F42"/>
    <mergeCell ref="D61:I61"/>
    <mergeCell ref="D62:I62"/>
    <mergeCell ref="H42:J42"/>
    <mergeCell ref="D43:F43"/>
    <mergeCell ref="J59:K59"/>
    <mergeCell ref="H37:J37"/>
  </mergeCells>
  <phoneticPr fontId="184" type="noConversion"/>
  <dataValidations count="6">
    <dataValidation type="list" allowBlank="1" showInputMessage="1" showErrorMessage="1" sqref="E70 WVM983110 WLQ983110 WBU983110 VRY983110 VIC983110 UYG983110 UOK983110 UEO983110 TUS983110 TKW983110 TBA983110 SRE983110 SHI983110 RXM983110 RNQ983110 RDU983110 QTY983110 QKC983110 QAG983110 PQK983110 PGO983110 OWS983110 OMW983110 ODA983110 NTE983110 NJI983110 MZM983110 MPQ983110 MFU983110 LVY983110 LMC983110 LCG983110 KSK983110 KIO983110 JYS983110 JOW983110 JFA983110 IVE983110 ILI983110 IBM983110 HRQ983110 HHU983110 GXY983110 GOC983110 GEG983110 FUK983110 FKO983110 FAS983110 EQW983110 EHA983110 DXE983110 DNI983110 DDM983110 CTQ983110 CJU983110 BZY983110 BQC983110 BGG983110 AWK983110 AMO983110 ACS983110 SW983110 JA983110 E983110 WVM917574 WLQ917574 WBU917574 VRY917574 VIC917574 UYG917574 UOK917574 UEO917574 TUS917574 TKW917574 TBA917574 SRE917574 SHI917574 RXM917574 RNQ917574 RDU917574 QTY917574 QKC917574 QAG917574 PQK917574 PGO917574 OWS917574 OMW917574 ODA917574 NTE917574 NJI917574 MZM917574 MPQ917574 MFU917574 LVY917574 LMC917574 LCG917574 KSK917574 KIO917574 JYS917574 JOW917574 JFA917574 IVE917574 ILI917574 IBM917574 HRQ917574 HHU917574 GXY917574 GOC917574 GEG917574 FUK917574 FKO917574 FAS917574 EQW917574 EHA917574 DXE917574 DNI917574 DDM917574 CTQ917574 CJU917574 BZY917574 BQC917574 BGG917574 AWK917574 AMO917574 ACS917574 SW917574 JA917574 E917574 WVM852038 WLQ852038 WBU852038 VRY852038 VIC852038 UYG852038 UOK852038 UEO852038 TUS852038 TKW852038 TBA852038 SRE852038 SHI852038 RXM852038 RNQ852038 RDU852038 QTY852038 QKC852038 QAG852038 PQK852038 PGO852038 OWS852038 OMW852038 ODA852038 NTE852038 NJI852038 MZM852038 MPQ852038 MFU852038 LVY852038 LMC852038 LCG852038 KSK852038 KIO852038 JYS852038 JOW852038 JFA852038 IVE852038 ILI852038 IBM852038 HRQ852038 HHU852038 GXY852038 GOC852038 GEG852038 FUK852038 FKO852038 FAS852038 EQW852038 EHA852038 DXE852038 DNI852038 DDM852038 CTQ852038 CJU852038 BZY852038 BQC852038 BGG852038 AWK852038 AMO852038 ACS852038 SW852038 JA852038 E852038 WVM786502 WLQ786502 WBU786502 VRY786502 VIC786502 UYG786502 UOK786502 UEO786502 TUS786502 TKW786502 TBA786502 SRE786502 SHI786502 RXM786502 RNQ786502 RDU786502 QTY786502 QKC786502 QAG786502 PQK786502 PGO786502 OWS786502 OMW786502 ODA786502 NTE786502 NJI786502 MZM786502 MPQ786502 MFU786502 LVY786502 LMC786502 LCG786502 KSK786502 KIO786502 JYS786502 JOW786502 JFA786502 IVE786502 ILI786502 IBM786502 HRQ786502 HHU786502 GXY786502 GOC786502 GEG786502 FUK786502 FKO786502 FAS786502 EQW786502 EHA786502 DXE786502 DNI786502 DDM786502 CTQ786502 CJU786502 BZY786502 BQC786502 BGG786502 AWK786502 AMO786502 ACS786502 SW786502 JA786502 E786502 WVM720966 WLQ720966 WBU720966 VRY720966 VIC720966 UYG720966 UOK720966 UEO720966 TUS720966 TKW720966 TBA720966 SRE720966 SHI720966 RXM720966 RNQ720966 RDU720966 QTY720966 QKC720966 QAG720966 PQK720966 PGO720966 OWS720966 OMW720966 ODA720966 NTE720966 NJI720966 MZM720966 MPQ720966 MFU720966 LVY720966 LMC720966 LCG720966 KSK720966 KIO720966 JYS720966 JOW720966 JFA720966 IVE720966 ILI720966 IBM720966 HRQ720966 HHU720966 GXY720966 GOC720966 GEG720966 FUK720966 FKO720966 FAS720966 EQW720966 EHA720966 DXE720966 DNI720966 DDM720966 CTQ720966 CJU720966 BZY720966 BQC720966 BGG720966 AWK720966 AMO720966 ACS720966 SW720966 JA720966 E720966 WVM655430 WLQ655430 WBU655430 VRY655430 VIC655430 UYG655430 UOK655430 UEO655430 TUS655430 TKW655430 TBA655430 SRE655430 SHI655430 RXM655430 RNQ655430 RDU655430 QTY655430 QKC655430 QAG655430 PQK655430 PGO655430 OWS655430 OMW655430 ODA655430 NTE655430 NJI655430 MZM655430 MPQ655430 MFU655430 LVY655430 LMC655430 LCG655430 KSK655430 KIO655430 JYS655430 JOW655430 JFA655430 IVE655430 ILI655430 IBM655430 HRQ655430 HHU655430 GXY655430 GOC655430 GEG655430 FUK655430 FKO655430 FAS655430 EQW655430 EHA655430 DXE655430 DNI655430 DDM655430 CTQ655430 CJU655430 BZY655430 BQC655430 BGG655430 AWK655430 AMO655430 ACS655430 SW655430 JA655430 E655430 WVM589894 WLQ589894 WBU589894 VRY589894 VIC589894 UYG589894 UOK589894 UEO589894 TUS589894 TKW589894 TBA589894 SRE589894 SHI589894 RXM589894 RNQ589894 RDU589894 QTY589894 QKC589894 QAG589894 PQK589894 PGO589894 OWS589894 OMW589894 ODA589894 NTE589894 NJI589894 MZM589894 MPQ589894 MFU589894 LVY589894 LMC589894 LCG589894 KSK589894 KIO589894 JYS589894 JOW589894 JFA589894 IVE589894 ILI589894 IBM589894 HRQ589894 HHU589894 GXY589894 GOC589894 GEG589894 FUK589894 FKO589894 FAS589894 EQW589894 EHA589894 DXE589894 DNI589894 DDM589894 CTQ589894 CJU589894 BZY589894 BQC589894 BGG589894 AWK589894 AMO589894 ACS589894 SW589894 JA589894 E589894 WVM524358 WLQ524358 WBU524358 VRY524358 VIC524358 UYG524358 UOK524358 UEO524358 TUS524358 TKW524358 TBA524358 SRE524358 SHI524358 RXM524358 RNQ524358 RDU524358 QTY524358 QKC524358 QAG524358 PQK524358 PGO524358 OWS524358 OMW524358 ODA524358 NTE524358 NJI524358 MZM524358 MPQ524358 MFU524358 LVY524358 LMC524358 LCG524358 KSK524358 KIO524358 JYS524358 JOW524358 JFA524358 IVE524358 ILI524358 IBM524358 HRQ524358 HHU524358 GXY524358 GOC524358 GEG524358 FUK524358 FKO524358 FAS524358 EQW524358 EHA524358 DXE524358 DNI524358 DDM524358 CTQ524358 CJU524358 BZY524358 BQC524358 BGG524358 AWK524358 AMO524358 ACS524358 SW524358 JA524358 E524358 WVM458822 WLQ458822 WBU458822 VRY458822 VIC458822 UYG458822 UOK458822 UEO458822 TUS458822 TKW458822 TBA458822 SRE458822 SHI458822 RXM458822 RNQ458822 RDU458822 QTY458822 QKC458822 QAG458822 PQK458822 PGO458822 OWS458822 OMW458822 ODA458822 NTE458822 NJI458822 MZM458822 MPQ458822 MFU458822 LVY458822 LMC458822 LCG458822 KSK458822 KIO458822 JYS458822 JOW458822 JFA458822 IVE458822 ILI458822 IBM458822 HRQ458822 HHU458822 GXY458822 GOC458822 GEG458822 FUK458822 FKO458822 FAS458822 EQW458822 EHA458822 DXE458822 DNI458822 DDM458822 CTQ458822 CJU458822 BZY458822 BQC458822 BGG458822 AWK458822 AMO458822 ACS458822 SW458822 JA458822 E458822 WVM393286 WLQ393286 WBU393286 VRY393286 VIC393286 UYG393286 UOK393286 UEO393286 TUS393286 TKW393286 TBA393286 SRE393286 SHI393286 RXM393286 RNQ393286 RDU393286 QTY393286 QKC393286 QAG393286 PQK393286 PGO393286 OWS393286 OMW393286 ODA393286 NTE393286 NJI393286 MZM393286 MPQ393286 MFU393286 LVY393286 LMC393286 LCG393286 KSK393286 KIO393286 JYS393286 JOW393286 JFA393286 IVE393286 ILI393286 IBM393286 HRQ393286 HHU393286 GXY393286 GOC393286 GEG393286 FUK393286 FKO393286 FAS393286 EQW393286 EHA393286 DXE393286 DNI393286 DDM393286 CTQ393286 CJU393286 BZY393286 BQC393286 BGG393286 AWK393286 AMO393286 ACS393286 SW393286 JA393286 E393286 WVM327750 WLQ327750 WBU327750 VRY327750 VIC327750 UYG327750 UOK327750 UEO327750 TUS327750 TKW327750 TBA327750 SRE327750 SHI327750 RXM327750 RNQ327750 RDU327750 QTY327750 QKC327750 QAG327750 PQK327750 PGO327750 OWS327750 OMW327750 ODA327750 NTE327750 NJI327750 MZM327750 MPQ327750 MFU327750 LVY327750 LMC327750 LCG327750 KSK327750 KIO327750 JYS327750 JOW327750 JFA327750 IVE327750 ILI327750 IBM327750 HRQ327750 HHU327750 GXY327750 GOC327750 GEG327750 FUK327750 FKO327750 FAS327750 EQW327750 EHA327750 DXE327750 DNI327750 DDM327750 CTQ327750 CJU327750 BZY327750 BQC327750 BGG327750 AWK327750 AMO327750 ACS327750 SW327750 JA327750 E327750 WVM262214 WLQ262214 WBU262214 VRY262214 VIC262214 UYG262214 UOK262214 UEO262214 TUS262214 TKW262214 TBA262214 SRE262214 SHI262214 RXM262214 RNQ262214 RDU262214 QTY262214 QKC262214 QAG262214 PQK262214 PGO262214 OWS262214 OMW262214 ODA262214 NTE262214 NJI262214 MZM262214 MPQ262214 MFU262214 LVY262214 LMC262214 LCG262214 KSK262214 KIO262214 JYS262214 JOW262214 JFA262214 IVE262214 ILI262214 IBM262214 HRQ262214 HHU262214 GXY262214 GOC262214 GEG262214 FUK262214 FKO262214 FAS262214 EQW262214 EHA262214 DXE262214 DNI262214 DDM262214 CTQ262214 CJU262214 BZY262214 BQC262214 BGG262214 AWK262214 AMO262214 ACS262214 SW262214 JA262214 E262214 WVM196678 WLQ196678 WBU196678 VRY196678 VIC196678 UYG196678 UOK196678 UEO196678 TUS196678 TKW196678 TBA196678 SRE196678 SHI196678 RXM196678 RNQ196678 RDU196678 QTY196678 QKC196678 QAG196678 PQK196678 PGO196678 OWS196678 OMW196678 ODA196678 NTE196678 NJI196678 MZM196678 MPQ196678 MFU196678 LVY196678 LMC196678 LCG196678 KSK196678 KIO196678 JYS196678 JOW196678 JFA196678 IVE196678 ILI196678 IBM196678 HRQ196678 HHU196678 GXY196678 GOC196678 GEG196678 FUK196678 FKO196678 FAS196678 EQW196678 EHA196678 DXE196678 DNI196678 DDM196678 CTQ196678 CJU196678 BZY196678 BQC196678 BGG196678 AWK196678 AMO196678 ACS196678 SW196678 JA196678 E196678 WVM131142 WLQ131142 WBU131142 VRY131142 VIC131142 UYG131142 UOK131142 UEO131142 TUS131142 TKW131142 TBA131142 SRE131142 SHI131142 RXM131142 RNQ131142 RDU131142 QTY131142 QKC131142 QAG131142 PQK131142 PGO131142 OWS131142 OMW131142 ODA131142 NTE131142 NJI131142 MZM131142 MPQ131142 MFU131142 LVY131142 LMC131142 LCG131142 KSK131142 KIO131142 JYS131142 JOW131142 JFA131142 IVE131142 ILI131142 IBM131142 HRQ131142 HHU131142 GXY131142 GOC131142 GEG131142 FUK131142 FKO131142 FAS131142 EQW131142 EHA131142 DXE131142 DNI131142 DDM131142 CTQ131142 CJU131142 BZY131142 BQC131142 BGG131142 AWK131142 AMO131142 ACS131142 SW131142 JA131142 E131142 WVM65606 WLQ65606 WBU65606 VRY65606 VIC65606 UYG65606 UOK65606 UEO65606 TUS65606 TKW65606 TBA65606 SRE65606 SHI65606 RXM65606 RNQ65606 RDU65606 QTY65606 QKC65606 QAG65606 PQK65606 PGO65606 OWS65606 OMW65606 ODA65606 NTE65606 NJI65606 MZM65606 MPQ65606 MFU65606 LVY65606 LMC65606 LCG65606 KSK65606 KIO65606 JYS65606 JOW65606 JFA65606 IVE65606 ILI65606 IBM65606 HRQ65606 HHU65606 GXY65606 GOC65606 GEG65606 FUK65606 FKO65606 FAS65606 EQW65606 EHA65606 DXE65606 DNI65606 DDM65606 CTQ65606 CJU65606 BZY65606 BQC65606 BGG65606 AWK65606 AMO65606 ACS65606 SW65606 JA65606 E65606 WVM70 WLQ70 WBU70 VRY70 VIC70 UYG70 UOK70 UEO70 TUS70 TKW70 TBA70 SRE70 SHI70 RXM70 RNQ70 RDU70 QTY70 QKC70 QAG70 PQK70 PGO70 OWS70 OMW70 ODA70 NTE70 NJI70 MZM70 MPQ70 MFU70 LVY70 LMC70 LCG70 KSK70 KIO70 JYS70 JOW70 JFA70 IVE70 ILI70 IBM70 HRQ70 HHU70 GXY70 GOC70 GEG70 FUK70 FKO70 FAS70 EQW70 EHA70 DXE70 DNI70 DDM70 CTQ70 CJU70 BZY70 BQC70 BGG70 AWK70 AMO70 ACS70 SW70 JA70">
      <formula1>$G$70:$H$70</formula1>
    </dataValidation>
    <dataValidation type="list" allowBlank="1" showInputMessage="1" showErrorMessage="1" sqref="E69 WVM983109 WLQ983109 WBU983109 VRY983109 VIC983109 UYG983109 UOK983109 UEO983109 TUS983109 TKW983109 TBA983109 SRE983109 SHI983109 RXM983109 RNQ983109 RDU983109 QTY983109 QKC983109 QAG983109 PQK983109 PGO983109 OWS983109 OMW983109 ODA983109 NTE983109 NJI983109 MZM983109 MPQ983109 MFU983109 LVY983109 LMC983109 LCG983109 KSK983109 KIO983109 JYS983109 JOW983109 JFA983109 IVE983109 ILI983109 IBM983109 HRQ983109 HHU983109 GXY983109 GOC983109 GEG983109 FUK983109 FKO983109 FAS983109 EQW983109 EHA983109 DXE983109 DNI983109 DDM983109 CTQ983109 CJU983109 BZY983109 BQC983109 BGG983109 AWK983109 AMO983109 ACS983109 SW983109 JA983109 E983109 WVM917573 WLQ917573 WBU917573 VRY917573 VIC917573 UYG917573 UOK917573 UEO917573 TUS917573 TKW917573 TBA917573 SRE917573 SHI917573 RXM917573 RNQ917573 RDU917573 QTY917573 QKC917573 QAG917573 PQK917573 PGO917573 OWS917573 OMW917573 ODA917573 NTE917573 NJI917573 MZM917573 MPQ917573 MFU917573 LVY917573 LMC917573 LCG917573 KSK917573 KIO917573 JYS917573 JOW917573 JFA917573 IVE917573 ILI917573 IBM917573 HRQ917573 HHU917573 GXY917573 GOC917573 GEG917573 FUK917573 FKO917573 FAS917573 EQW917573 EHA917573 DXE917573 DNI917573 DDM917573 CTQ917573 CJU917573 BZY917573 BQC917573 BGG917573 AWK917573 AMO917573 ACS917573 SW917573 JA917573 E917573 WVM852037 WLQ852037 WBU852037 VRY852037 VIC852037 UYG852037 UOK852037 UEO852037 TUS852037 TKW852037 TBA852037 SRE852037 SHI852037 RXM852037 RNQ852037 RDU852037 QTY852037 QKC852037 QAG852037 PQK852037 PGO852037 OWS852037 OMW852037 ODA852037 NTE852037 NJI852037 MZM852037 MPQ852037 MFU852037 LVY852037 LMC852037 LCG852037 KSK852037 KIO852037 JYS852037 JOW852037 JFA852037 IVE852037 ILI852037 IBM852037 HRQ852037 HHU852037 GXY852037 GOC852037 GEG852037 FUK852037 FKO852037 FAS852037 EQW852037 EHA852037 DXE852037 DNI852037 DDM852037 CTQ852037 CJU852037 BZY852037 BQC852037 BGG852037 AWK852037 AMO852037 ACS852037 SW852037 JA852037 E852037 WVM786501 WLQ786501 WBU786501 VRY786501 VIC786501 UYG786501 UOK786501 UEO786501 TUS786501 TKW786501 TBA786501 SRE786501 SHI786501 RXM786501 RNQ786501 RDU786501 QTY786501 QKC786501 QAG786501 PQK786501 PGO786501 OWS786501 OMW786501 ODA786501 NTE786501 NJI786501 MZM786501 MPQ786501 MFU786501 LVY786501 LMC786501 LCG786501 KSK786501 KIO786501 JYS786501 JOW786501 JFA786501 IVE786501 ILI786501 IBM786501 HRQ786501 HHU786501 GXY786501 GOC786501 GEG786501 FUK786501 FKO786501 FAS786501 EQW786501 EHA786501 DXE786501 DNI786501 DDM786501 CTQ786501 CJU786501 BZY786501 BQC786501 BGG786501 AWK786501 AMO786501 ACS786501 SW786501 JA786501 E786501 WVM720965 WLQ720965 WBU720965 VRY720965 VIC720965 UYG720965 UOK720965 UEO720965 TUS720965 TKW720965 TBA720965 SRE720965 SHI720965 RXM720965 RNQ720965 RDU720965 QTY720965 QKC720965 QAG720965 PQK720965 PGO720965 OWS720965 OMW720965 ODA720965 NTE720965 NJI720965 MZM720965 MPQ720965 MFU720965 LVY720965 LMC720965 LCG720965 KSK720965 KIO720965 JYS720965 JOW720965 JFA720965 IVE720965 ILI720965 IBM720965 HRQ720965 HHU720965 GXY720965 GOC720965 GEG720965 FUK720965 FKO720965 FAS720965 EQW720965 EHA720965 DXE720965 DNI720965 DDM720965 CTQ720965 CJU720965 BZY720965 BQC720965 BGG720965 AWK720965 AMO720965 ACS720965 SW720965 JA720965 E720965 WVM655429 WLQ655429 WBU655429 VRY655429 VIC655429 UYG655429 UOK655429 UEO655429 TUS655429 TKW655429 TBA655429 SRE655429 SHI655429 RXM655429 RNQ655429 RDU655429 QTY655429 QKC655429 QAG655429 PQK655429 PGO655429 OWS655429 OMW655429 ODA655429 NTE655429 NJI655429 MZM655429 MPQ655429 MFU655429 LVY655429 LMC655429 LCG655429 KSK655429 KIO655429 JYS655429 JOW655429 JFA655429 IVE655429 ILI655429 IBM655429 HRQ655429 HHU655429 GXY655429 GOC655429 GEG655429 FUK655429 FKO655429 FAS655429 EQW655429 EHA655429 DXE655429 DNI655429 DDM655429 CTQ655429 CJU655429 BZY655429 BQC655429 BGG655429 AWK655429 AMO655429 ACS655429 SW655429 JA655429 E655429 WVM589893 WLQ589893 WBU589893 VRY589893 VIC589893 UYG589893 UOK589893 UEO589893 TUS589893 TKW589893 TBA589893 SRE589893 SHI589893 RXM589893 RNQ589893 RDU589893 QTY589893 QKC589893 QAG589893 PQK589893 PGO589893 OWS589893 OMW589893 ODA589893 NTE589893 NJI589893 MZM589893 MPQ589893 MFU589893 LVY589893 LMC589893 LCG589893 KSK589893 KIO589893 JYS589893 JOW589893 JFA589893 IVE589893 ILI589893 IBM589893 HRQ589893 HHU589893 GXY589893 GOC589893 GEG589893 FUK589893 FKO589893 FAS589893 EQW589893 EHA589893 DXE589893 DNI589893 DDM589893 CTQ589893 CJU589893 BZY589893 BQC589893 BGG589893 AWK589893 AMO589893 ACS589893 SW589893 JA589893 E589893 WVM524357 WLQ524357 WBU524357 VRY524357 VIC524357 UYG524357 UOK524357 UEO524357 TUS524357 TKW524357 TBA524357 SRE524357 SHI524357 RXM524357 RNQ524357 RDU524357 QTY524357 QKC524357 QAG524357 PQK524357 PGO524357 OWS524357 OMW524357 ODA524357 NTE524357 NJI524357 MZM524357 MPQ524357 MFU524357 LVY524357 LMC524357 LCG524357 KSK524357 KIO524357 JYS524357 JOW524357 JFA524357 IVE524357 ILI524357 IBM524357 HRQ524357 HHU524357 GXY524357 GOC524357 GEG524357 FUK524357 FKO524357 FAS524357 EQW524357 EHA524357 DXE524357 DNI524357 DDM524357 CTQ524357 CJU524357 BZY524357 BQC524357 BGG524357 AWK524357 AMO524357 ACS524357 SW524357 JA524357 E524357 WVM458821 WLQ458821 WBU458821 VRY458821 VIC458821 UYG458821 UOK458821 UEO458821 TUS458821 TKW458821 TBA458821 SRE458821 SHI458821 RXM458821 RNQ458821 RDU458821 QTY458821 QKC458821 QAG458821 PQK458821 PGO458821 OWS458821 OMW458821 ODA458821 NTE458821 NJI458821 MZM458821 MPQ458821 MFU458821 LVY458821 LMC458821 LCG458821 KSK458821 KIO458821 JYS458821 JOW458821 JFA458821 IVE458821 ILI458821 IBM458821 HRQ458821 HHU458821 GXY458821 GOC458821 GEG458821 FUK458821 FKO458821 FAS458821 EQW458821 EHA458821 DXE458821 DNI458821 DDM458821 CTQ458821 CJU458821 BZY458821 BQC458821 BGG458821 AWK458821 AMO458821 ACS458821 SW458821 JA458821 E458821 WVM393285 WLQ393285 WBU393285 VRY393285 VIC393285 UYG393285 UOK393285 UEO393285 TUS393285 TKW393285 TBA393285 SRE393285 SHI393285 RXM393285 RNQ393285 RDU393285 QTY393285 QKC393285 QAG393285 PQK393285 PGO393285 OWS393285 OMW393285 ODA393285 NTE393285 NJI393285 MZM393285 MPQ393285 MFU393285 LVY393285 LMC393285 LCG393285 KSK393285 KIO393285 JYS393285 JOW393285 JFA393285 IVE393285 ILI393285 IBM393285 HRQ393285 HHU393285 GXY393285 GOC393285 GEG393285 FUK393285 FKO393285 FAS393285 EQW393285 EHA393285 DXE393285 DNI393285 DDM393285 CTQ393285 CJU393285 BZY393285 BQC393285 BGG393285 AWK393285 AMO393285 ACS393285 SW393285 JA393285 E393285 WVM327749 WLQ327749 WBU327749 VRY327749 VIC327749 UYG327749 UOK327749 UEO327749 TUS327749 TKW327749 TBA327749 SRE327749 SHI327749 RXM327749 RNQ327749 RDU327749 QTY327749 QKC327749 QAG327749 PQK327749 PGO327749 OWS327749 OMW327749 ODA327749 NTE327749 NJI327749 MZM327749 MPQ327749 MFU327749 LVY327749 LMC327749 LCG327749 KSK327749 KIO327749 JYS327749 JOW327749 JFA327749 IVE327749 ILI327749 IBM327749 HRQ327749 HHU327749 GXY327749 GOC327749 GEG327749 FUK327749 FKO327749 FAS327749 EQW327749 EHA327749 DXE327749 DNI327749 DDM327749 CTQ327749 CJU327749 BZY327749 BQC327749 BGG327749 AWK327749 AMO327749 ACS327749 SW327749 JA327749 E327749 WVM262213 WLQ262213 WBU262213 VRY262213 VIC262213 UYG262213 UOK262213 UEO262213 TUS262213 TKW262213 TBA262213 SRE262213 SHI262213 RXM262213 RNQ262213 RDU262213 QTY262213 QKC262213 QAG262213 PQK262213 PGO262213 OWS262213 OMW262213 ODA262213 NTE262213 NJI262213 MZM262213 MPQ262213 MFU262213 LVY262213 LMC262213 LCG262213 KSK262213 KIO262213 JYS262213 JOW262213 JFA262213 IVE262213 ILI262213 IBM262213 HRQ262213 HHU262213 GXY262213 GOC262213 GEG262213 FUK262213 FKO262213 FAS262213 EQW262213 EHA262213 DXE262213 DNI262213 DDM262213 CTQ262213 CJU262213 BZY262213 BQC262213 BGG262213 AWK262213 AMO262213 ACS262213 SW262213 JA262213 E262213 WVM196677 WLQ196677 WBU196677 VRY196677 VIC196677 UYG196677 UOK196677 UEO196677 TUS196677 TKW196677 TBA196677 SRE196677 SHI196677 RXM196677 RNQ196677 RDU196677 QTY196677 QKC196677 QAG196677 PQK196677 PGO196677 OWS196677 OMW196677 ODA196677 NTE196677 NJI196677 MZM196677 MPQ196677 MFU196677 LVY196677 LMC196677 LCG196677 KSK196677 KIO196677 JYS196677 JOW196677 JFA196677 IVE196677 ILI196677 IBM196677 HRQ196677 HHU196677 GXY196677 GOC196677 GEG196677 FUK196677 FKO196677 FAS196677 EQW196677 EHA196677 DXE196677 DNI196677 DDM196677 CTQ196677 CJU196677 BZY196677 BQC196677 BGG196677 AWK196677 AMO196677 ACS196677 SW196677 JA196677 E196677 WVM131141 WLQ131141 WBU131141 VRY131141 VIC131141 UYG131141 UOK131141 UEO131141 TUS131141 TKW131141 TBA131141 SRE131141 SHI131141 RXM131141 RNQ131141 RDU131141 QTY131141 QKC131141 QAG131141 PQK131141 PGO131141 OWS131141 OMW131141 ODA131141 NTE131141 NJI131141 MZM131141 MPQ131141 MFU131141 LVY131141 LMC131141 LCG131141 KSK131141 KIO131141 JYS131141 JOW131141 JFA131141 IVE131141 ILI131141 IBM131141 HRQ131141 HHU131141 GXY131141 GOC131141 GEG131141 FUK131141 FKO131141 FAS131141 EQW131141 EHA131141 DXE131141 DNI131141 DDM131141 CTQ131141 CJU131141 BZY131141 BQC131141 BGG131141 AWK131141 AMO131141 ACS131141 SW131141 JA131141 E131141 WVM65605 WLQ65605 WBU65605 VRY65605 VIC65605 UYG65605 UOK65605 UEO65605 TUS65605 TKW65605 TBA65605 SRE65605 SHI65605 RXM65605 RNQ65605 RDU65605 QTY65605 QKC65605 QAG65605 PQK65605 PGO65605 OWS65605 OMW65605 ODA65605 NTE65605 NJI65605 MZM65605 MPQ65605 MFU65605 LVY65605 LMC65605 LCG65605 KSK65605 KIO65605 JYS65605 JOW65605 JFA65605 IVE65605 ILI65605 IBM65605 HRQ65605 HHU65605 GXY65605 GOC65605 GEG65605 FUK65605 FKO65605 FAS65605 EQW65605 EHA65605 DXE65605 DNI65605 DDM65605 CTQ65605 CJU65605 BZY65605 BQC65605 BGG65605 AWK65605 AMO65605 ACS65605 SW65605 JA65605 E65605 WVM69 WLQ69 WBU69 VRY69 VIC69 UYG69 UOK69 UEO69 TUS69 TKW69 TBA69 SRE69 SHI69 RXM69 RNQ69 RDU69 QTY69 QKC69 QAG69 PQK69 PGO69 OWS69 OMW69 ODA69 NTE69 NJI69 MZM69 MPQ69 MFU69 LVY69 LMC69 LCG69 KSK69 KIO69 JYS69 JOW69 JFA69 IVE69 ILI69 IBM69 HRQ69 HHU69 GXY69 GOC69 GEG69 FUK69 FKO69 FAS69 EQW69 EHA69 DXE69 DNI69 DDM69 CTQ69 CJU69 BZY69 BQC69 BGG69 AWK69 AMO69 ACS69 SW69 JA69">
      <formula1>$G$69:$H$69</formula1>
    </dataValidation>
    <dataValidation type="list" allowBlank="1" showInputMessage="1" showErrorMessage="1" sqref="E68 WVM983108 WLQ983108 WBU983108 VRY983108 VIC983108 UYG983108 UOK983108 UEO983108 TUS983108 TKW983108 TBA983108 SRE983108 SHI983108 RXM983108 RNQ983108 RDU983108 QTY983108 QKC983108 QAG983108 PQK983108 PGO983108 OWS983108 OMW983108 ODA983108 NTE983108 NJI983108 MZM983108 MPQ983108 MFU983108 LVY983108 LMC983108 LCG983108 KSK983108 KIO983108 JYS983108 JOW983108 JFA983108 IVE983108 ILI983108 IBM983108 HRQ983108 HHU983108 GXY983108 GOC983108 GEG983108 FUK983108 FKO983108 FAS983108 EQW983108 EHA983108 DXE983108 DNI983108 DDM983108 CTQ983108 CJU983108 BZY983108 BQC983108 BGG983108 AWK983108 AMO983108 ACS983108 SW983108 JA983108 E983108 WVM917572 WLQ917572 WBU917572 VRY917572 VIC917572 UYG917572 UOK917572 UEO917572 TUS917572 TKW917572 TBA917572 SRE917572 SHI917572 RXM917572 RNQ917572 RDU917572 QTY917572 QKC917572 QAG917572 PQK917572 PGO917572 OWS917572 OMW917572 ODA917572 NTE917572 NJI917572 MZM917572 MPQ917572 MFU917572 LVY917572 LMC917572 LCG917572 KSK917572 KIO917572 JYS917572 JOW917572 JFA917572 IVE917572 ILI917572 IBM917572 HRQ917572 HHU917572 GXY917572 GOC917572 GEG917572 FUK917572 FKO917572 FAS917572 EQW917572 EHA917572 DXE917572 DNI917572 DDM917572 CTQ917572 CJU917572 BZY917572 BQC917572 BGG917572 AWK917572 AMO917572 ACS917572 SW917572 JA917572 E917572 WVM852036 WLQ852036 WBU852036 VRY852036 VIC852036 UYG852036 UOK852036 UEO852036 TUS852036 TKW852036 TBA852036 SRE852036 SHI852036 RXM852036 RNQ852036 RDU852036 QTY852036 QKC852036 QAG852036 PQK852036 PGO852036 OWS852036 OMW852036 ODA852036 NTE852036 NJI852036 MZM852036 MPQ852036 MFU852036 LVY852036 LMC852036 LCG852036 KSK852036 KIO852036 JYS852036 JOW852036 JFA852036 IVE852036 ILI852036 IBM852036 HRQ852036 HHU852036 GXY852036 GOC852036 GEG852036 FUK852036 FKO852036 FAS852036 EQW852036 EHA852036 DXE852036 DNI852036 DDM852036 CTQ852036 CJU852036 BZY852036 BQC852036 BGG852036 AWK852036 AMO852036 ACS852036 SW852036 JA852036 E852036 WVM786500 WLQ786500 WBU786500 VRY786500 VIC786500 UYG786500 UOK786500 UEO786500 TUS786500 TKW786500 TBA786500 SRE786500 SHI786500 RXM786500 RNQ786500 RDU786500 QTY786500 QKC786500 QAG786500 PQK786500 PGO786500 OWS786500 OMW786500 ODA786500 NTE786500 NJI786500 MZM786500 MPQ786500 MFU786500 LVY786500 LMC786500 LCG786500 KSK786500 KIO786500 JYS786500 JOW786500 JFA786500 IVE786500 ILI786500 IBM786500 HRQ786500 HHU786500 GXY786500 GOC786500 GEG786500 FUK786500 FKO786500 FAS786500 EQW786500 EHA786500 DXE786500 DNI786500 DDM786500 CTQ786500 CJU786500 BZY786500 BQC786500 BGG786500 AWK786500 AMO786500 ACS786500 SW786500 JA786500 E786500 WVM720964 WLQ720964 WBU720964 VRY720964 VIC720964 UYG720964 UOK720964 UEO720964 TUS720964 TKW720964 TBA720964 SRE720964 SHI720964 RXM720964 RNQ720964 RDU720964 QTY720964 QKC720964 QAG720964 PQK720964 PGO720964 OWS720964 OMW720964 ODA720964 NTE720964 NJI720964 MZM720964 MPQ720964 MFU720964 LVY720964 LMC720964 LCG720964 KSK720964 KIO720964 JYS720964 JOW720964 JFA720964 IVE720964 ILI720964 IBM720964 HRQ720964 HHU720964 GXY720964 GOC720964 GEG720964 FUK720964 FKO720964 FAS720964 EQW720964 EHA720964 DXE720964 DNI720964 DDM720964 CTQ720964 CJU720964 BZY720964 BQC720964 BGG720964 AWK720964 AMO720964 ACS720964 SW720964 JA720964 E720964 WVM655428 WLQ655428 WBU655428 VRY655428 VIC655428 UYG655428 UOK655428 UEO655428 TUS655428 TKW655428 TBA655428 SRE655428 SHI655428 RXM655428 RNQ655428 RDU655428 QTY655428 QKC655428 QAG655428 PQK655428 PGO655428 OWS655428 OMW655428 ODA655428 NTE655428 NJI655428 MZM655428 MPQ655428 MFU655428 LVY655428 LMC655428 LCG655428 KSK655428 KIO655428 JYS655428 JOW655428 JFA655428 IVE655428 ILI655428 IBM655428 HRQ655428 HHU655428 GXY655428 GOC655428 GEG655428 FUK655428 FKO655428 FAS655428 EQW655428 EHA655428 DXE655428 DNI655428 DDM655428 CTQ655428 CJU655428 BZY655428 BQC655428 BGG655428 AWK655428 AMO655428 ACS655428 SW655428 JA655428 E655428 WVM589892 WLQ589892 WBU589892 VRY589892 VIC589892 UYG589892 UOK589892 UEO589892 TUS589892 TKW589892 TBA589892 SRE589892 SHI589892 RXM589892 RNQ589892 RDU589892 QTY589892 QKC589892 QAG589892 PQK589892 PGO589892 OWS589892 OMW589892 ODA589892 NTE589892 NJI589892 MZM589892 MPQ589892 MFU589892 LVY589892 LMC589892 LCG589892 KSK589892 KIO589892 JYS589892 JOW589892 JFA589892 IVE589892 ILI589892 IBM589892 HRQ589892 HHU589892 GXY589892 GOC589892 GEG589892 FUK589892 FKO589892 FAS589892 EQW589892 EHA589892 DXE589892 DNI589892 DDM589892 CTQ589892 CJU589892 BZY589892 BQC589892 BGG589892 AWK589892 AMO589892 ACS589892 SW589892 JA589892 E589892 WVM524356 WLQ524356 WBU524356 VRY524356 VIC524356 UYG524356 UOK524356 UEO524356 TUS524356 TKW524356 TBA524356 SRE524356 SHI524356 RXM524356 RNQ524356 RDU524356 QTY524356 QKC524356 QAG524356 PQK524356 PGO524356 OWS524356 OMW524356 ODA524356 NTE524356 NJI524356 MZM524356 MPQ524356 MFU524356 LVY524356 LMC524356 LCG524356 KSK524356 KIO524356 JYS524356 JOW524356 JFA524356 IVE524356 ILI524356 IBM524356 HRQ524356 HHU524356 GXY524356 GOC524356 GEG524356 FUK524356 FKO524356 FAS524356 EQW524356 EHA524356 DXE524356 DNI524356 DDM524356 CTQ524356 CJU524356 BZY524356 BQC524356 BGG524356 AWK524356 AMO524356 ACS524356 SW524356 JA524356 E524356 WVM458820 WLQ458820 WBU458820 VRY458820 VIC458820 UYG458820 UOK458820 UEO458820 TUS458820 TKW458820 TBA458820 SRE458820 SHI458820 RXM458820 RNQ458820 RDU458820 QTY458820 QKC458820 QAG458820 PQK458820 PGO458820 OWS458820 OMW458820 ODA458820 NTE458820 NJI458820 MZM458820 MPQ458820 MFU458820 LVY458820 LMC458820 LCG458820 KSK458820 KIO458820 JYS458820 JOW458820 JFA458820 IVE458820 ILI458820 IBM458820 HRQ458820 HHU458820 GXY458820 GOC458820 GEG458820 FUK458820 FKO458820 FAS458820 EQW458820 EHA458820 DXE458820 DNI458820 DDM458820 CTQ458820 CJU458820 BZY458820 BQC458820 BGG458820 AWK458820 AMO458820 ACS458820 SW458820 JA458820 E458820 WVM393284 WLQ393284 WBU393284 VRY393284 VIC393284 UYG393284 UOK393284 UEO393284 TUS393284 TKW393284 TBA393284 SRE393284 SHI393284 RXM393284 RNQ393284 RDU393284 QTY393284 QKC393284 QAG393284 PQK393284 PGO393284 OWS393284 OMW393284 ODA393284 NTE393284 NJI393284 MZM393284 MPQ393284 MFU393284 LVY393284 LMC393284 LCG393284 KSK393284 KIO393284 JYS393284 JOW393284 JFA393284 IVE393284 ILI393284 IBM393284 HRQ393284 HHU393284 GXY393284 GOC393284 GEG393284 FUK393284 FKO393284 FAS393284 EQW393284 EHA393284 DXE393284 DNI393284 DDM393284 CTQ393284 CJU393284 BZY393284 BQC393284 BGG393284 AWK393284 AMO393284 ACS393284 SW393284 JA393284 E393284 WVM327748 WLQ327748 WBU327748 VRY327748 VIC327748 UYG327748 UOK327748 UEO327748 TUS327748 TKW327748 TBA327748 SRE327748 SHI327748 RXM327748 RNQ327748 RDU327748 QTY327748 QKC327748 QAG327748 PQK327748 PGO327748 OWS327748 OMW327748 ODA327748 NTE327748 NJI327748 MZM327748 MPQ327748 MFU327748 LVY327748 LMC327748 LCG327748 KSK327748 KIO327748 JYS327748 JOW327748 JFA327748 IVE327748 ILI327748 IBM327748 HRQ327748 HHU327748 GXY327748 GOC327748 GEG327748 FUK327748 FKO327748 FAS327748 EQW327748 EHA327748 DXE327748 DNI327748 DDM327748 CTQ327748 CJU327748 BZY327748 BQC327748 BGG327748 AWK327748 AMO327748 ACS327748 SW327748 JA327748 E327748 WVM262212 WLQ262212 WBU262212 VRY262212 VIC262212 UYG262212 UOK262212 UEO262212 TUS262212 TKW262212 TBA262212 SRE262212 SHI262212 RXM262212 RNQ262212 RDU262212 QTY262212 QKC262212 QAG262212 PQK262212 PGO262212 OWS262212 OMW262212 ODA262212 NTE262212 NJI262212 MZM262212 MPQ262212 MFU262212 LVY262212 LMC262212 LCG262212 KSK262212 KIO262212 JYS262212 JOW262212 JFA262212 IVE262212 ILI262212 IBM262212 HRQ262212 HHU262212 GXY262212 GOC262212 GEG262212 FUK262212 FKO262212 FAS262212 EQW262212 EHA262212 DXE262212 DNI262212 DDM262212 CTQ262212 CJU262212 BZY262212 BQC262212 BGG262212 AWK262212 AMO262212 ACS262212 SW262212 JA262212 E262212 WVM196676 WLQ196676 WBU196676 VRY196676 VIC196676 UYG196676 UOK196676 UEO196676 TUS196676 TKW196676 TBA196676 SRE196676 SHI196676 RXM196676 RNQ196676 RDU196676 QTY196676 QKC196676 QAG196676 PQK196676 PGO196676 OWS196676 OMW196676 ODA196676 NTE196676 NJI196676 MZM196676 MPQ196676 MFU196676 LVY196676 LMC196676 LCG196676 KSK196676 KIO196676 JYS196676 JOW196676 JFA196676 IVE196676 ILI196676 IBM196676 HRQ196676 HHU196676 GXY196676 GOC196676 GEG196676 FUK196676 FKO196676 FAS196676 EQW196676 EHA196676 DXE196676 DNI196676 DDM196676 CTQ196676 CJU196676 BZY196676 BQC196676 BGG196676 AWK196676 AMO196676 ACS196676 SW196676 JA196676 E196676 WVM131140 WLQ131140 WBU131140 VRY131140 VIC131140 UYG131140 UOK131140 UEO131140 TUS131140 TKW131140 TBA131140 SRE131140 SHI131140 RXM131140 RNQ131140 RDU131140 QTY131140 QKC131140 QAG131140 PQK131140 PGO131140 OWS131140 OMW131140 ODA131140 NTE131140 NJI131140 MZM131140 MPQ131140 MFU131140 LVY131140 LMC131140 LCG131140 KSK131140 KIO131140 JYS131140 JOW131140 JFA131140 IVE131140 ILI131140 IBM131140 HRQ131140 HHU131140 GXY131140 GOC131140 GEG131140 FUK131140 FKO131140 FAS131140 EQW131140 EHA131140 DXE131140 DNI131140 DDM131140 CTQ131140 CJU131140 BZY131140 BQC131140 BGG131140 AWK131140 AMO131140 ACS131140 SW131140 JA131140 E131140 WVM65604 WLQ65604 WBU65604 VRY65604 VIC65604 UYG65604 UOK65604 UEO65604 TUS65604 TKW65604 TBA65604 SRE65604 SHI65604 RXM65604 RNQ65604 RDU65604 QTY65604 QKC65604 QAG65604 PQK65604 PGO65604 OWS65604 OMW65604 ODA65604 NTE65604 NJI65604 MZM65604 MPQ65604 MFU65604 LVY65604 LMC65604 LCG65604 KSK65604 KIO65604 JYS65604 JOW65604 JFA65604 IVE65604 ILI65604 IBM65604 HRQ65604 HHU65604 GXY65604 GOC65604 GEG65604 FUK65604 FKO65604 FAS65604 EQW65604 EHA65604 DXE65604 DNI65604 DDM65604 CTQ65604 CJU65604 BZY65604 BQC65604 BGG65604 AWK65604 AMO65604 ACS65604 SW65604 JA65604 E65604 WVM68 WLQ68 WBU68 VRY68 VIC68 UYG68 UOK68 UEO68 TUS68 TKW68 TBA68 SRE68 SHI68 RXM68 RNQ68 RDU68 QTY68 QKC68 QAG68 PQK68 PGO68 OWS68 OMW68 ODA68 NTE68 NJI68 MZM68 MPQ68 MFU68 LVY68 LMC68 LCG68 KSK68 KIO68 JYS68 JOW68 JFA68 IVE68 ILI68 IBM68 HRQ68 HHU68 GXY68 GOC68 GEG68 FUK68 FKO68 FAS68 EQW68 EHA68 DXE68 DNI68 DDM68 CTQ68 CJU68 BZY68 BQC68 BGG68 AWK68 AMO68 ACS68 SW68 JA68">
      <formula1>$G$68:$H$68</formula1>
    </dataValidation>
    <dataValidation type="list" allowBlank="1" showInputMessage="1" showErrorMessage="1" sqref="F26:H26 WVN983066:WVP983066 WLR983066:WLT983066 WBV983066:WBX983066 VRZ983066:VSB983066 VID983066:VIF983066 UYH983066:UYJ983066 UOL983066:UON983066 UEP983066:UER983066 TUT983066:TUV983066 TKX983066:TKZ983066 TBB983066:TBD983066 SRF983066:SRH983066 SHJ983066:SHL983066 RXN983066:RXP983066 RNR983066:RNT983066 RDV983066:RDX983066 QTZ983066:QUB983066 QKD983066:QKF983066 QAH983066:QAJ983066 PQL983066:PQN983066 PGP983066:PGR983066 OWT983066:OWV983066 OMX983066:OMZ983066 ODB983066:ODD983066 NTF983066:NTH983066 NJJ983066:NJL983066 MZN983066:MZP983066 MPR983066:MPT983066 MFV983066:MFX983066 LVZ983066:LWB983066 LMD983066:LMF983066 LCH983066:LCJ983066 KSL983066:KSN983066 KIP983066:KIR983066 JYT983066:JYV983066 JOX983066:JOZ983066 JFB983066:JFD983066 IVF983066:IVH983066 ILJ983066:ILL983066 IBN983066:IBP983066 HRR983066:HRT983066 HHV983066:HHX983066 GXZ983066:GYB983066 GOD983066:GOF983066 GEH983066:GEJ983066 FUL983066:FUN983066 FKP983066:FKR983066 FAT983066:FAV983066 EQX983066:EQZ983066 EHB983066:EHD983066 DXF983066:DXH983066 DNJ983066:DNL983066 DDN983066:DDP983066 CTR983066:CTT983066 CJV983066:CJX983066 BZZ983066:CAB983066 BQD983066:BQF983066 BGH983066:BGJ983066 AWL983066:AWN983066 AMP983066:AMR983066 ACT983066:ACV983066 SX983066:SZ983066 JB983066:JD983066 F983066:H983066 WVN917530:WVP917530 WLR917530:WLT917530 WBV917530:WBX917530 VRZ917530:VSB917530 VID917530:VIF917530 UYH917530:UYJ917530 UOL917530:UON917530 UEP917530:UER917530 TUT917530:TUV917530 TKX917530:TKZ917530 TBB917530:TBD917530 SRF917530:SRH917530 SHJ917530:SHL917530 RXN917530:RXP917530 RNR917530:RNT917530 RDV917530:RDX917530 QTZ917530:QUB917530 QKD917530:QKF917530 QAH917530:QAJ917530 PQL917530:PQN917530 PGP917530:PGR917530 OWT917530:OWV917530 OMX917530:OMZ917530 ODB917530:ODD917530 NTF917530:NTH917530 NJJ917530:NJL917530 MZN917530:MZP917530 MPR917530:MPT917530 MFV917530:MFX917530 LVZ917530:LWB917530 LMD917530:LMF917530 LCH917530:LCJ917530 KSL917530:KSN917530 KIP917530:KIR917530 JYT917530:JYV917530 JOX917530:JOZ917530 JFB917530:JFD917530 IVF917530:IVH917530 ILJ917530:ILL917530 IBN917530:IBP917530 HRR917530:HRT917530 HHV917530:HHX917530 GXZ917530:GYB917530 GOD917530:GOF917530 GEH917530:GEJ917530 FUL917530:FUN917530 FKP917530:FKR917530 FAT917530:FAV917530 EQX917530:EQZ917530 EHB917530:EHD917530 DXF917530:DXH917530 DNJ917530:DNL917530 DDN917530:DDP917530 CTR917530:CTT917530 CJV917530:CJX917530 BZZ917530:CAB917530 BQD917530:BQF917530 BGH917530:BGJ917530 AWL917530:AWN917530 AMP917530:AMR917530 ACT917530:ACV917530 SX917530:SZ917530 JB917530:JD917530 F917530:H917530 WVN851994:WVP851994 WLR851994:WLT851994 WBV851994:WBX851994 VRZ851994:VSB851994 VID851994:VIF851994 UYH851994:UYJ851994 UOL851994:UON851994 UEP851994:UER851994 TUT851994:TUV851994 TKX851994:TKZ851994 TBB851994:TBD851994 SRF851994:SRH851994 SHJ851994:SHL851994 RXN851994:RXP851994 RNR851994:RNT851994 RDV851994:RDX851994 QTZ851994:QUB851994 QKD851994:QKF851994 QAH851994:QAJ851994 PQL851994:PQN851994 PGP851994:PGR851994 OWT851994:OWV851994 OMX851994:OMZ851994 ODB851994:ODD851994 NTF851994:NTH851994 NJJ851994:NJL851994 MZN851994:MZP851994 MPR851994:MPT851994 MFV851994:MFX851994 LVZ851994:LWB851994 LMD851994:LMF851994 LCH851994:LCJ851994 KSL851994:KSN851994 KIP851994:KIR851994 JYT851994:JYV851994 JOX851994:JOZ851994 JFB851994:JFD851994 IVF851994:IVH851994 ILJ851994:ILL851994 IBN851994:IBP851994 HRR851994:HRT851994 HHV851994:HHX851994 GXZ851994:GYB851994 GOD851994:GOF851994 GEH851994:GEJ851994 FUL851994:FUN851994 FKP851994:FKR851994 FAT851994:FAV851994 EQX851994:EQZ851994 EHB851994:EHD851994 DXF851994:DXH851994 DNJ851994:DNL851994 DDN851994:DDP851994 CTR851994:CTT851994 CJV851994:CJX851994 BZZ851994:CAB851994 BQD851994:BQF851994 BGH851994:BGJ851994 AWL851994:AWN851994 AMP851994:AMR851994 ACT851994:ACV851994 SX851994:SZ851994 JB851994:JD851994 F851994:H851994 WVN786458:WVP786458 WLR786458:WLT786458 WBV786458:WBX786458 VRZ786458:VSB786458 VID786458:VIF786458 UYH786458:UYJ786458 UOL786458:UON786458 UEP786458:UER786458 TUT786458:TUV786458 TKX786458:TKZ786458 TBB786458:TBD786458 SRF786458:SRH786458 SHJ786458:SHL786458 RXN786458:RXP786458 RNR786458:RNT786458 RDV786458:RDX786458 QTZ786458:QUB786458 QKD786458:QKF786458 QAH786458:QAJ786458 PQL786458:PQN786458 PGP786458:PGR786458 OWT786458:OWV786458 OMX786458:OMZ786458 ODB786458:ODD786458 NTF786458:NTH786458 NJJ786458:NJL786458 MZN786458:MZP786458 MPR786458:MPT786458 MFV786458:MFX786458 LVZ786458:LWB786458 LMD786458:LMF786458 LCH786458:LCJ786458 KSL786458:KSN786458 KIP786458:KIR786458 JYT786458:JYV786458 JOX786458:JOZ786458 JFB786458:JFD786458 IVF786458:IVH786458 ILJ786458:ILL786458 IBN786458:IBP786458 HRR786458:HRT786458 HHV786458:HHX786458 GXZ786458:GYB786458 GOD786458:GOF786458 GEH786458:GEJ786458 FUL786458:FUN786458 FKP786458:FKR786458 FAT786458:FAV786458 EQX786458:EQZ786458 EHB786458:EHD786458 DXF786458:DXH786458 DNJ786458:DNL786458 DDN786458:DDP786458 CTR786458:CTT786458 CJV786458:CJX786458 BZZ786458:CAB786458 BQD786458:BQF786458 BGH786458:BGJ786458 AWL786458:AWN786458 AMP786458:AMR786458 ACT786458:ACV786458 SX786458:SZ786458 JB786458:JD786458 F786458:H786458 WVN720922:WVP720922 WLR720922:WLT720922 WBV720922:WBX720922 VRZ720922:VSB720922 VID720922:VIF720922 UYH720922:UYJ720922 UOL720922:UON720922 UEP720922:UER720922 TUT720922:TUV720922 TKX720922:TKZ720922 TBB720922:TBD720922 SRF720922:SRH720922 SHJ720922:SHL720922 RXN720922:RXP720922 RNR720922:RNT720922 RDV720922:RDX720922 QTZ720922:QUB720922 QKD720922:QKF720922 QAH720922:QAJ720922 PQL720922:PQN720922 PGP720922:PGR720922 OWT720922:OWV720922 OMX720922:OMZ720922 ODB720922:ODD720922 NTF720922:NTH720922 NJJ720922:NJL720922 MZN720922:MZP720922 MPR720922:MPT720922 MFV720922:MFX720922 LVZ720922:LWB720922 LMD720922:LMF720922 LCH720922:LCJ720922 KSL720922:KSN720922 KIP720922:KIR720922 JYT720922:JYV720922 JOX720922:JOZ720922 JFB720922:JFD720922 IVF720922:IVH720922 ILJ720922:ILL720922 IBN720922:IBP720922 HRR720922:HRT720922 HHV720922:HHX720922 GXZ720922:GYB720922 GOD720922:GOF720922 GEH720922:GEJ720922 FUL720922:FUN720922 FKP720922:FKR720922 FAT720922:FAV720922 EQX720922:EQZ720922 EHB720922:EHD720922 DXF720922:DXH720922 DNJ720922:DNL720922 DDN720922:DDP720922 CTR720922:CTT720922 CJV720922:CJX720922 BZZ720922:CAB720922 BQD720922:BQF720922 BGH720922:BGJ720922 AWL720922:AWN720922 AMP720922:AMR720922 ACT720922:ACV720922 SX720922:SZ720922 JB720922:JD720922 F720922:H720922 WVN655386:WVP655386 WLR655386:WLT655386 WBV655386:WBX655386 VRZ655386:VSB655386 VID655386:VIF655386 UYH655386:UYJ655386 UOL655386:UON655386 UEP655386:UER655386 TUT655386:TUV655386 TKX655386:TKZ655386 TBB655386:TBD655386 SRF655386:SRH655386 SHJ655386:SHL655386 RXN655386:RXP655386 RNR655386:RNT655386 RDV655386:RDX655386 QTZ655386:QUB655386 QKD655386:QKF655386 QAH655386:QAJ655386 PQL655386:PQN655386 PGP655386:PGR655386 OWT655386:OWV655386 OMX655386:OMZ655386 ODB655386:ODD655386 NTF655386:NTH655386 NJJ655386:NJL655386 MZN655386:MZP655386 MPR655386:MPT655386 MFV655386:MFX655386 LVZ655386:LWB655386 LMD655386:LMF655386 LCH655386:LCJ655386 KSL655386:KSN655386 KIP655386:KIR655386 JYT655386:JYV655386 JOX655386:JOZ655386 JFB655386:JFD655386 IVF655386:IVH655386 ILJ655386:ILL655386 IBN655386:IBP655386 HRR655386:HRT655386 HHV655386:HHX655386 GXZ655386:GYB655386 GOD655386:GOF655386 GEH655386:GEJ655386 FUL655386:FUN655386 FKP655386:FKR655386 FAT655386:FAV655386 EQX655386:EQZ655386 EHB655386:EHD655386 DXF655386:DXH655386 DNJ655386:DNL655386 DDN655386:DDP655386 CTR655386:CTT655386 CJV655386:CJX655386 BZZ655386:CAB655386 BQD655386:BQF655386 BGH655386:BGJ655386 AWL655386:AWN655386 AMP655386:AMR655386 ACT655386:ACV655386 SX655386:SZ655386 JB655386:JD655386 F655386:H655386 WVN589850:WVP589850 WLR589850:WLT589850 WBV589850:WBX589850 VRZ589850:VSB589850 VID589850:VIF589850 UYH589850:UYJ589850 UOL589850:UON589850 UEP589850:UER589850 TUT589850:TUV589850 TKX589850:TKZ589850 TBB589850:TBD589850 SRF589850:SRH589850 SHJ589850:SHL589850 RXN589850:RXP589850 RNR589850:RNT589850 RDV589850:RDX589850 QTZ589850:QUB589850 QKD589850:QKF589850 QAH589850:QAJ589850 PQL589850:PQN589850 PGP589850:PGR589850 OWT589850:OWV589850 OMX589850:OMZ589850 ODB589850:ODD589850 NTF589850:NTH589850 NJJ589850:NJL589850 MZN589850:MZP589850 MPR589850:MPT589850 MFV589850:MFX589850 LVZ589850:LWB589850 LMD589850:LMF589850 LCH589850:LCJ589850 KSL589850:KSN589850 KIP589850:KIR589850 JYT589850:JYV589850 JOX589850:JOZ589850 JFB589850:JFD589850 IVF589850:IVH589850 ILJ589850:ILL589850 IBN589850:IBP589850 HRR589850:HRT589850 HHV589850:HHX589850 GXZ589850:GYB589850 GOD589850:GOF589850 GEH589850:GEJ589850 FUL589850:FUN589850 FKP589850:FKR589850 FAT589850:FAV589850 EQX589850:EQZ589850 EHB589850:EHD589850 DXF589850:DXH589850 DNJ589850:DNL589850 DDN589850:DDP589850 CTR589850:CTT589850 CJV589850:CJX589850 BZZ589850:CAB589850 BQD589850:BQF589850 BGH589850:BGJ589850 AWL589850:AWN589850 AMP589850:AMR589850 ACT589850:ACV589850 SX589850:SZ589850 JB589850:JD589850 F589850:H589850 WVN524314:WVP524314 WLR524314:WLT524314 WBV524314:WBX524314 VRZ524314:VSB524314 VID524314:VIF524314 UYH524314:UYJ524314 UOL524314:UON524314 UEP524314:UER524314 TUT524314:TUV524314 TKX524314:TKZ524314 TBB524314:TBD524314 SRF524314:SRH524314 SHJ524314:SHL524314 RXN524314:RXP524314 RNR524314:RNT524314 RDV524314:RDX524314 QTZ524314:QUB524314 QKD524314:QKF524314 QAH524314:QAJ524314 PQL524314:PQN524314 PGP524314:PGR524314 OWT524314:OWV524314 OMX524314:OMZ524314 ODB524314:ODD524314 NTF524314:NTH524314 NJJ524314:NJL524314 MZN524314:MZP524314 MPR524314:MPT524314 MFV524314:MFX524314 LVZ524314:LWB524314 LMD524314:LMF524314 LCH524314:LCJ524314 KSL524314:KSN524314 KIP524314:KIR524314 JYT524314:JYV524314 JOX524314:JOZ524314 JFB524314:JFD524314 IVF524314:IVH524314 ILJ524314:ILL524314 IBN524314:IBP524314 HRR524314:HRT524314 HHV524314:HHX524314 GXZ524314:GYB524314 GOD524314:GOF524314 GEH524314:GEJ524314 FUL524314:FUN524314 FKP524314:FKR524314 FAT524314:FAV524314 EQX524314:EQZ524314 EHB524314:EHD524314 DXF524314:DXH524314 DNJ524314:DNL524314 DDN524314:DDP524314 CTR524314:CTT524314 CJV524314:CJX524314 BZZ524314:CAB524314 BQD524314:BQF524314 BGH524314:BGJ524314 AWL524314:AWN524314 AMP524314:AMR524314 ACT524314:ACV524314 SX524314:SZ524314 JB524314:JD524314 F524314:H524314 WVN458778:WVP458778 WLR458778:WLT458778 WBV458778:WBX458778 VRZ458778:VSB458778 VID458778:VIF458778 UYH458778:UYJ458778 UOL458778:UON458778 UEP458778:UER458778 TUT458778:TUV458778 TKX458778:TKZ458778 TBB458778:TBD458778 SRF458778:SRH458778 SHJ458778:SHL458778 RXN458778:RXP458778 RNR458778:RNT458778 RDV458778:RDX458778 QTZ458778:QUB458778 QKD458778:QKF458778 QAH458778:QAJ458778 PQL458778:PQN458778 PGP458778:PGR458778 OWT458778:OWV458778 OMX458778:OMZ458778 ODB458778:ODD458778 NTF458778:NTH458778 NJJ458778:NJL458778 MZN458778:MZP458778 MPR458778:MPT458778 MFV458778:MFX458778 LVZ458778:LWB458778 LMD458778:LMF458778 LCH458778:LCJ458778 KSL458778:KSN458778 KIP458778:KIR458778 JYT458778:JYV458778 JOX458778:JOZ458778 JFB458778:JFD458778 IVF458778:IVH458778 ILJ458778:ILL458778 IBN458778:IBP458778 HRR458778:HRT458778 HHV458778:HHX458778 GXZ458778:GYB458778 GOD458778:GOF458778 GEH458778:GEJ458778 FUL458778:FUN458778 FKP458778:FKR458778 FAT458778:FAV458778 EQX458778:EQZ458778 EHB458778:EHD458778 DXF458778:DXH458778 DNJ458778:DNL458778 DDN458778:DDP458778 CTR458778:CTT458778 CJV458778:CJX458778 BZZ458778:CAB458778 BQD458778:BQF458778 BGH458778:BGJ458778 AWL458778:AWN458778 AMP458778:AMR458778 ACT458778:ACV458778 SX458778:SZ458778 JB458778:JD458778 F458778:H458778 WVN393242:WVP393242 WLR393242:WLT393242 WBV393242:WBX393242 VRZ393242:VSB393242 VID393242:VIF393242 UYH393242:UYJ393242 UOL393242:UON393242 UEP393242:UER393242 TUT393242:TUV393242 TKX393242:TKZ393242 TBB393242:TBD393242 SRF393242:SRH393242 SHJ393242:SHL393242 RXN393242:RXP393242 RNR393242:RNT393242 RDV393242:RDX393242 QTZ393242:QUB393242 QKD393242:QKF393242 QAH393242:QAJ393242 PQL393242:PQN393242 PGP393242:PGR393242 OWT393242:OWV393242 OMX393242:OMZ393242 ODB393242:ODD393242 NTF393242:NTH393242 NJJ393242:NJL393242 MZN393242:MZP393242 MPR393242:MPT393242 MFV393242:MFX393242 LVZ393242:LWB393242 LMD393242:LMF393242 LCH393242:LCJ393242 KSL393242:KSN393242 KIP393242:KIR393242 JYT393242:JYV393242 JOX393242:JOZ393242 JFB393242:JFD393242 IVF393242:IVH393242 ILJ393242:ILL393242 IBN393242:IBP393242 HRR393242:HRT393242 HHV393242:HHX393242 GXZ393242:GYB393242 GOD393242:GOF393242 GEH393242:GEJ393242 FUL393242:FUN393242 FKP393242:FKR393242 FAT393242:FAV393242 EQX393242:EQZ393242 EHB393242:EHD393242 DXF393242:DXH393242 DNJ393242:DNL393242 DDN393242:DDP393242 CTR393242:CTT393242 CJV393242:CJX393242 BZZ393242:CAB393242 BQD393242:BQF393242 BGH393242:BGJ393242 AWL393242:AWN393242 AMP393242:AMR393242 ACT393242:ACV393242 SX393242:SZ393242 JB393242:JD393242 F393242:H393242 WVN327706:WVP327706 WLR327706:WLT327706 WBV327706:WBX327706 VRZ327706:VSB327706 VID327706:VIF327706 UYH327706:UYJ327706 UOL327706:UON327706 UEP327706:UER327706 TUT327706:TUV327706 TKX327706:TKZ327706 TBB327706:TBD327706 SRF327706:SRH327706 SHJ327706:SHL327706 RXN327706:RXP327706 RNR327706:RNT327706 RDV327706:RDX327706 QTZ327706:QUB327706 QKD327706:QKF327706 QAH327706:QAJ327706 PQL327706:PQN327706 PGP327706:PGR327706 OWT327706:OWV327706 OMX327706:OMZ327706 ODB327706:ODD327706 NTF327706:NTH327706 NJJ327706:NJL327706 MZN327706:MZP327706 MPR327706:MPT327706 MFV327706:MFX327706 LVZ327706:LWB327706 LMD327706:LMF327706 LCH327706:LCJ327706 KSL327706:KSN327706 KIP327706:KIR327706 JYT327706:JYV327706 JOX327706:JOZ327706 JFB327706:JFD327706 IVF327706:IVH327706 ILJ327706:ILL327706 IBN327706:IBP327706 HRR327706:HRT327706 HHV327706:HHX327706 GXZ327706:GYB327706 GOD327706:GOF327706 GEH327706:GEJ327706 FUL327706:FUN327706 FKP327706:FKR327706 FAT327706:FAV327706 EQX327706:EQZ327706 EHB327706:EHD327706 DXF327706:DXH327706 DNJ327706:DNL327706 DDN327706:DDP327706 CTR327706:CTT327706 CJV327706:CJX327706 BZZ327706:CAB327706 BQD327706:BQF327706 BGH327706:BGJ327706 AWL327706:AWN327706 AMP327706:AMR327706 ACT327706:ACV327706 SX327706:SZ327706 JB327706:JD327706 F327706:H327706 WVN262170:WVP262170 WLR262170:WLT262170 WBV262170:WBX262170 VRZ262170:VSB262170 VID262170:VIF262170 UYH262170:UYJ262170 UOL262170:UON262170 UEP262170:UER262170 TUT262170:TUV262170 TKX262170:TKZ262170 TBB262170:TBD262170 SRF262170:SRH262170 SHJ262170:SHL262170 RXN262170:RXP262170 RNR262170:RNT262170 RDV262170:RDX262170 QTZ262170:QUB262170 QKD262170:QKF262170 QAH262170:QAJ262170 PQL262170:PQN262170 PGP262170:PGR262170 OWT262170:OWV262170 OMX262170:OMZ262170 ODB262170:ODD262170 NTF262170:NTH262170 NJJ262170:NJL262170 MZN262170:MZP262170 MPR262170:MPT262170 MFV262170:MFX262170 LVZ262170:LWB262170 LMD262170:LMF262170 LCH262170:LCJ262170 KSL262170:KSN262170 KIP262170:KIR262170 JYT262170:JYV262170 JOX262170:JOZ262170 JFB262170:JFD262170 IVF262170:IVH262170 ILJ262170:ILL262170 IBN262170:IBP262170 HRR262170:HRT262170 HHV262170:HHX262170 GXZ262170:GYB262170 GOD262170:GOF262170 GEH262170:GEJ262170 FUL262170:FUN262170 FKP262170:FKR262170 FAT262170:FAV262170 EQX262170:EQZ262170 EHB262170:EHD262170 DXF262170:DXH262170 DNJ262170:DNL262170 DDN262170:DDP262170 CTR262170:CTT262170 CJV262170:CJX262170 BZZ262170:CAB262170 BQD262170:BQF262170 BGH262170:BGJ262170 AWL262170:AWN262170 AMP262170:AMR262170 ACT262170:ACV262170 SX262170:SZ262170 JB262170:JD262170 F262170:H262170 WVN196634:WVP196634 WLR196634:WLT196634 WBV196634:WBX196634 VRZ196634:VSB196634 VID196634:VIF196634 UYH196634:UYJ196634 UOL196634:UON196634 UEP196634:UER196634 TUT196634:TUV196634 TKX196634:TKZ196634 TBB196634:TBD196634 SRF196634:SRH196634 SHJ196634:SHL196634 RXN196634:RXP196634 RNR196634:RNT196634 RDV196634:RDX196634 QTZ196634:QUB196634 QKD196634:QKF196634 QAH196634:QAJ196634 PQL196634:PQN196634 PGP196634:PGR196634 OWT196634:OWV196634 OMX196634:OMZ196634 ODB196634:ODD196634 NTF196634:NTH196634 NJJ196634:NJL196634 MZN196634:MZP196634 MPR196634:MPT196634 MFV196634:MFX196634 LVZ196634:LWB196634 LMD196634:LMF196634 LCH196634:LCJ196634 KSL196634:KSN196634 KIP196634:KIR196634 JYT196634:JYV196634 JOX196634:JOZ196634 JFB196634:JFD196634 IVF196634:IVH196634 ILJ196634:ILL196634 IBN196634:IBP196634 HRR196634:HRT196634 HHV196634:HHX196634 GXZ196634:GYB196634 GOD196634:GOF196634 GEH196634:GEJ196634 FUL196634:FUN196634 FKP196634:FKR196634 FAT196634:FAV196634 EQX196634:EQZ196634 EHB196634:EHD196634 DXF196634:DXH196634 DNJ196634:DNL196634 DDN196634:DDP196634 CTR196634:CTT196634 CJV196634:CJX196634 BZZ196634:CAB196634 BQD196634:BQF196634 BGH196634:BGJ196634 AWL196634:AWN196634 AMP196634:AMR196634 ACT196634:ACV196634 SX196634:SZ196634 JB196634:JD196634 F196634:H196634 WVN131098:WVP131098 WLR131098:WLT131098 WBV131098:WBX131098 VRZ131098:VSB131098 VID131098:VIF131098 UYH131098:UYJ131098 UOL131098:UON131098 UEP131098:UER131098 TUT131098:TUV131098 TKX131098:TKZ131098 TBB131098:TBD131098 SRF131098:SRH131098 SHJ131098:SHL131098 RXN131098:RXP131098 RNR131098:RNT131098 RDV131098:RDX131098 QTZ131098:QUB131098 QKD131098:QKF131098 QAH131098:QAJ131098 PQL131098:PQN131098 PGP131098:PGR131098 OWT131098:OWV131098 OMX131098:OMZ131098 ODB131098:ODD131098 NTF131098:NTH131098 NJJ131098:NJL131098 MZN131098:MZP131098 MPR131098:MPT131098 MFV131098:MFX131098 LVZ131098:LWB131098 LMD131098:LMF131098 LCH131098:LCJ131098 KSL131098:KSN131098 KIP131098:KIR131098 JYT131098:JYV131098 JOX131098:JOZ131098 JFB131098:JFD131098 IVF131098:IVH131098 ILJ131098:ILL131098 IBN131098:IBP131098 HRR131098:HRT131098 HHV131098:HHX131098 GXZ131098:GYB131098 GOD131098:GOF131098 GEH131098:GEJ131098 FUL131098:FUN131098 FKP131098:FKR131098 FAT131098:FAV131098 EQX131098:EQZ131098 EHB131098:EHD131098 DXF131098:DXH131098 DNJ131098:DNL131098 DDN131098:DDP131098 CTR131098:CTT131098 CJV131098:CJX131098 BZZ131098:CAB131098 BQD131098:BQF131098 BGH131098:BGJ131098 AWL131098:AWN131098 AMP131098:AMR131098 ACT131098:ACV131098 SX131098:SZ131098 JB131098:JD131098 F131098:H131098 WVN65562:WVP65562 WLR65562:WLT65562 WBV65562:WBX65562 VRZ65562:VSB65562 VID65562:VIF65562 UYH65562:UYJ65562 UOL65562:UON65562 UEP65562:UER65562 TUT65562:TUV65562 TKX65562:TKZ65562 TBB65562:TBD65562 SRF65562:SRH65562 SHJ65562:SHL65562 RXN65562:RXP65562 RNR65562:RNT65562 RDV65562:RDX65562 QTZ65562:QUB65562 QKD65562:QKF65562 QAH65562:QAJ65562 PQL65562:PQN65562 PGP65562:PGR65562 OWT65562:OWV65562 OMX65562:OMZ65562 ODB65562:ODD65562 NTF65562:NTH65562 NJJ65562:NJL65562 MZN65562:MZP65562 MPR65562:MPT65562 MFV65562:MFX65562 LVZ65562:LWB65562 LMD65562:LMF65562 LCH65562:LCJ65562 KSL65562:KSN65562 KIP65562:KIR65562 JYT65562:JYV65562 JOX65562:JOZ65562 JFB65562:JFD65562 IVF65562:IVH65562 ILJ65562:ILL65562 IBN65562:IBP65562 HRR65562:HRT65562 HHV65562:HHX65562 GXZ65562:GYB65562 GOD65562:GOF65562 GEH65562:GEJ65562 FUL65562:FUN65562 FKP65562:FKR65562 FAT65562:FAV65562 EQX65562:EQZ65562 EHB65562:EHD65562 DXF65562:DXH65562 DNJ65562:DNL65562 DDN65562:DDP65562 CTR65562:CTT65562 CJV65562:CJX65562 BZZ65562:CAB65562 BQD65562:BQF65562 BGH65562:BGJ65562 AWL65562:AWN65562 AMP65562:AMR65562 ACT65562:ACV65562 SX65562:SZ65562 JB65562:JD65562 F65562:H65562 WVN26:WVP26 WLR26:WLT26 WBV26:WBX26 VRZ26:VSB26 VID26:VIF26 UYH26:UYJ26 UOL26:UON26 UEP26:UER26 TUT26:TUV26 TKX26:TKZ26 TBB26:TBD26 SRF26:SRH26 SHJ26:SHL26 RXN26:RXP26 RNR26:RNT26 RDV26:RDX26 QTZ26:QUB26 QKD26:QKF26 QAH26:QAJ26 PQL26:PQN26 PGP26:PGR26 OWT26:OWV26 OMX26:OMZ26 ODB26:ODD26 NTF26:NTH26 NJJ26:NJL26 MZN26:MZP26 MPR26:MPT26 MFV26:MFX26 LVZ26:LWB26 LMD26:LMF26 LCH26:LCJ26 KSL26:KSN26 KIP26:KIR26 JYT26:JYV26 JOX26:JOZ26 JFB26:JFD26 IVF26:IVH26 ILJ26:ILL26 IBN26:IBP26 HRR26:HRT26 HHV26:HHX26 GXZ26:GYB26 GOD26:GOF26 GEH26:GEJ26 FUL26:FUN26 FKP26:FKR26 FAT26:FAV26 EQX26:EQZ26 EHB26:EHD26 DXF26:DXH26 DNJ26:DNL26 DDN26:DDP26 CTR26:CTT26 CJV26:CJX26 BZZ26:CAB26 BQD26:BQF26 BGH26:BGJ26 AWL26:AWN26 AMP26:AMR26 ACT26:ACV26 SX26:SZ26 JB26:JD26">
      <formula1>$I$25:$I$27</formula1>
    </dataValidation>
    <dataValidation type="list" allowBlank="1" showInputMessage="1" showErrorMessage="1" sqref="D58:I58 WVL983098:WVQ983098 WLP983098:WLU983098 WBT983098:WBY983098 VRX983098:VSC983098 VIB983098:VIG983098 UYF983098:UYK983098 UOJ983098:UOO983098 UEN983098:UES983098 TUR983098:TUW983098 TKV983098:TLA983098 TAZ983098:TBE983098 SRD983098:SRI983098 SHH983098:SHM983098 RXL983098:RXQ983098 RNP983098:RNU983098 RDT983098:RDY983098 QTX983098:QUC983098 QKB983098:QKG983098 QAF983098:QAK983098 PQJ983098:PQO983098 PGN983098:PGS983098 OWR983098:OWW983098 OMV983098:ONA983098 OCZ983098:ODE983098 NTD983098:NTI983098 NJH983098:NJM983098 MZL983098:MZQ983098 MPP983098:MPU983098 MFT983098:MFY983098 LVX983098:LWC983098 LMB983098:LMG983098 LCF983098:LCK983098 KSJ983098:KSO983098 KIN983098:KIS983098 JYR983098:JYW983098 JOV983098:JPA983098 JEZ983098:JFE983098 IVD983098:IVI983098 ILH983098:ILM983098 IBL983098:IBQ983098 HRP983098:HRU983098 HHT983098:HHY983098 GXX983098:GYC983098 GOB983098:GOG983098 GEF983098:GEK983098 FUJ983098:FUO983098 FKN983098:FKS983098 FAR983098:FAW983098 EQV983098:ERA983098 EGZ983098:EHE983098 DXD983098:DXI983098 DNH983098:DNM983098 DDL983098:DDQ983098 CTP983098:CTU983098 CJT983098:CJY983098 BZX983098:CAC983098 BQB983098:BQG983098 BGF983098:BGK983098 AWJ983098:AWO983098 AMN983098:AMS983098 ACR983098:ACW983098 SV983098:TA983098 IZ983098:JE983098 D983098:I983098 WVL917562:WVQ917562 WLP917562:WLU917562 WBT917562:WBY917562 VRX917562:VSC917562 VIB917562:VIG917562 UYF917562:UYK917562 UOJ917562:UOO917562 UEN917562:UES917562 TUR917562:TUW917562 TKV917562:TLA917562 TAZ917562:TBE917562 SRD917562:SRI917562 SHH917562:SHM917562 RXL917562:RXQ917562 RNP917562:RNU917562 RDT917562:RDY917562 QTX917562:QUC917562 QKB917562:QKG917562 QAF917562:QAK917562 PQJ917562:PQO917562 PGN917562:PGS917562 OWR917562:OWW917562 OMV917562:ONA917562 OCZ917562:ODE917562 NTD917562:NTI917562 NJH917562:NJM917562 MZL917562:MZQ917562 MPP917562:MPU917562 MFT917562:MFY917562 LVX917562:LWC917562 LMB917562:LMG917562 LCF917562:LCK917562 KSJ917562:KSO917562 KIN917562:KIS917562 JYR917562:JYW917562 JOV917562:JPA917562 JEZ917562:JFE917562 IVD917562:IVI917562 ILH917562:ILM917562 IBL917562:IBQ917562 HRP917562:HRU917562 HHT917562:HHY917562 GXX917562:GYC917562 GOB917562:GOG917562 GEF917562:GEK917562 FUJ917562:FUO917562 FKN917562:FKS917562 FAR917562:FAW917562 EQV917562:ERA917562 EGZ917562:EHE917562 DXD917562:DXI917562 DNH917562:DNM917562 DDL917562:DDQ917562 CTP917562:CTU917562 CJT917562:CJY917562 BZX917562:CAC917562 BQB917562:BQG917562 BGF917562:BGK917562 AWJ917562:AWO917562 AMN917562:AMS917562 ACR917562:ACW917562 SV917562:TA917562 IZ917562:JE917562 D917562:I917562 WVL852026:WVQ852026 WLP852026:WLU852026 WBT852026:WBY852026 VRX852026:VSC852026 VIB852026:VIG852026 UYF852026:UYK852026 UOJ852026:UOO852026 UEN852026:UES852026 TUR852026:TUW852026 TKV852026:TLA852026 TAZ852026:TBE852026 SRD852026:SRI852026 SHH852026:SHM852026 RXL852026:RXQ852026 RNP852026:RNU852026 RDT852026:RDY852026 QTX852026:QUC852026 QKB852026:QKG852026 QAF852026:QAK852026 PQJ852026:PQO852026 PGN852026:PGS852026 OWR852026:OWW852026 OMV852026:ONA852026 OCZ852026:ODE852026 NTD852026:NTI852026 NJH852026:NJM852026 MZL852026:MZQ852026 MPP852026:MPU852026 MFT852026:MFY852026 LVX852026:LWC852026 LMB852026:LMG852026 LCF852026:LCK852026 KSJ852026:KSO852026 KIN852026:KIS852026 JYR852026:JYW852026 JOV852026:JPA852026 JEZ852026:JFE852026 IVD852026:IVI852026 ILH852026:ILM852026 IBL852026:IBQ852026 HRP852026:HRU852026 HHT852026:HHY852026 GXX852026:GYC852026 GOB852026:GOG852026 GEF852026:GEK852026 FUJ852026:FUO852026 FKN852026:FKS852026 FAR852026:FAW852026 EQV852026:ERA852026 EGZ852026:EHE852026 DXD852026:DXI852026 DNH852026:DNM852026 DDL852026:DDQ852026 CTP852026:CTU852026 CJT852026:CJY852026 BZX852026:CAC852026 BQB852026:BQG852026 BGF852026:BGK852026 AWJ852026:AWO852026 AMN852026:AMS852026 ACR852026:ACW852026 SV852026:TA852026 IZ852026:JE852026 D852026:I852026 WVL786490:WVQ786490 WLP786490:WLU786490 WBT786490:WBY786490 VRX786490:VSC786490 VIB786490:VIG786490 UYF786490:UYK786490 UOJ786490:UOO786490 UEN786490:UES786490 TUR786490:TUW786490 TKV786490:TLA786490 TAZ786490:TBE786490 SRD786490:SRI786490 SHH786490:SHM786490 RXL786490:RXQ786490 RNP786490:RNU786490 RDT786490:RDY786490 QTX786490:QUC786490 QKB786490:QKG786490 QAF786490:QAK786490 PQJ786490:PQO786490 PGN786490:PGS786490 OWR786490:OWW786490 OMV786490:ONA786490 OCZ786490:ODE786490 NTD786490:NTI786490 NJH786490:NJM786490 MZL786490:MZQ786490 MPP786490:MPU786490 MFT786490:MFY786490 LVX786490:LWC786490 LMB786490:LMG786490 LCF786490:LCK786490 KSJ786490:KSO786490 KIN786490:KIS786490 JYR786490:JYW786490 JOV786490:JPA786490 JEZ786490:JFE786490 IVD786490:IVI786490 ILH786490:ILM786490 IBL786490:IBQ786490 HRP786490:HRU786490 HHT786490:HHY786490 GXX786490:GYC786490 GOB786490:GOG786490 GEF786490:GEK786490 FUJ786490:FUO786490 FKN786490:FKS786490 FAR786490:FAW786490 EQV786490:ERA786490 EGZ786490:EHE786490 DXD786490:DXI786490 DNH786490:DNM786490 DDL786490:DDQ786490 CTP786490:CTU786490 CJT786490:CJY786490 BZX786490:CAC786490 BQB786490:BQG786490 BGF786490:BGK786490 AWJ786490:AWO786490 AMN786490:AMS786490 ACR786490:ACW786490 SV786490:TA786490 IZ786490:JE786490 D786490:I786490 WVL720954:WVQ720954 WLP720954:WLU720954 WBT720954:WBY720954 VRX720954:VSC720954 VIB720954:VIG720954 UYF720954:UYK720954 UOJ720954:UOO720954 UEN720954:UES720954 TUR720954:TUW720954 TKV720954:TLA720954 TAZ720954:TBE720954 SRD720954:SRI720954 SHH720954:SHM720954 RXL720954:RXQ720954 RNP720954:RNU720954 RDT720954:RDY720954 QTX720954:QUC720954 QKB720954:QKG720954 QAF720954:QAK720954 PQJ720954:PQO720954 PGN720954:PGS720954 OWR720954:OWW720954 OMV720954:ONA720954 OCZ720954:ODE720954 NTD720954:NTI720954 NJH720954:NJM720954 MZL720954:MZQ720954 MPP720954:MPU720954 MFT720954:MFY720954 LVX720954:LWC720954 LMB720954:LMG720954 LCF720954:LCK720954 KSJ720954:KSO720954 KIN720954:KIS720954 JYR720954:JYW720954 JOV720954:JPA720954 JEZ720954:JFE720954 IVD720954:IVI720954 ILH720954:ILM720954 IBL720954:IBQ720954 HRP720954:HRU720954 HHT720954:HHY720954 GXX720954:GYC720954 GOB720954:GOG720954 GEF720954:GEK720954 FUJ720954:FUO720954 FKN720954:FKS720954 FAR720954:FAW720954 EQV720954:ERA720954 EGZ720954:EHE720954 DXD720954:DXI720954 DNH720954:DNM720954 DDL720954:DDQ720954 CTP720954:CTU720954 CJT720954:CJY720954 BZX720954:CAC720954 BQB720954:BQG720954 BGF720954:BGK720954 AWJ720954:AWO720954 AMN720954:AMS720954 ACR720954:ACW720954 SV720954:TA720954 IZ720954:JE720954 D720954:I720954 WVL655418:WVQ655418 WLP655418:WLU655418 WBT655418:WBY655418 VRX655418:VSC655418 VIB655418:VIG655418 UYF655418:UYK655418 UOJ655418:UOO655418 UEN655418:UES655418 TUR655418:TUW655418 TKV655418:TLA655418 TAZ655418:TBE655418 SRD655418:SRI655418 SHH655418:SHM655418 RXL655418:RXQ655418 RNP655418:RNU655418 RDT655418:RDY655418 QTX655418:QUC655418 QKB655418:QKG655418 QAF655418:QAK655418 PQJ655418:PQO655418 PGN655418:PGS655418 OWR655418:OWW655418 OMV655418:ONA655418 OCZ655418:ODE655418 NTD655418:NTI655418 NJH655418:NJM655418 MZL655418:MZQ655418 MPP655418:MPU655418 MFT655418:MFY655418 LVX655418:LWC655418 LMB655418:LMG655418 LCF655418:LCK655418 KSJ655418:KSO655418 KIN655418:KIS655418 JYR655418:JYW655418 JOV655418:JPA655418 JEZ655418:JFE655418 IVD655418:IVI655418 ILH655418:ILM655418 IBL655418:IBQ655418 HRP655418:HRU655418 HHT655418:HHY655418 GXX655418:GYC655418 GOB655418:GOG655418 GEF655418:GEK655418 FUJ655418:FUO655418 FKN655418:FKS655418 FAR655418:FAW655418 EQV655418:ERA655418 EGZ655418:EHE655418 DXD655418:DXI655418 DNH655418:DNM655418 DDL655418:DDQ655418 CTP655418:CTU655418 CJT655418:CJY655418 BZX655418:CAC655418 BQB655418:BQG655418 BGF655418:BGK655418 AWJ655418:AWO655418 AMN655418:AMS655418 ACR655418:ACW655418 SV655418:TA655418 IZ655418:JE655418 D655418:I655418 WVL589882:WVQ589882 WLP589882:WLU589882 WBT589882:WBY589882 VRX589882:VSC589882 VIB589882:VIG589882 UYF589882:UYK589882 UOJ589882:UOO589882 UEN589882:UES589882 TUR589882:TUW589882 TKV589882:TLA589882 TAZ589882:TBE589882 SRD589882:SRI589882 SHH589882:SHM589882 RXL589882:RXQ589882 RNP589882:RNU589882 RDT589882:RDY589882 QTX589882:QUC589882 QKB589882:QKG589882 QAF589882:QAK589882 PQJ589882:PQO589882 PGN589882:PGS589882 OWR589882:OWW589882 OMV589882:ONA589882 OCZ589882:ODE589882 NTD589882:NTI589882 NJH589882:NJM589882 MZL589882:MZQ589882 MPP589882:MPU589882 MFT589882:MFY589882 LVX589882:LWC589882 LMB589882:LMG589882 LCF589882:LCK589882 KSJ589882:KSO589882 KIN589882:KIS589882 JYR589882:JYW589882 JOV589882:JPA589882 JEZ589882:JFE589882 IVD589882:IVI589882 ILH589882:ILM589882 IBL589882:IBQ589882 HRP589882:HRU589882 HHT589882:HHY589882 GXX589882:GYC589882 GOB589882:GOG589882 GEF589882:GEK589882 FUJ589882:FUO589882 FKN589882:FKS589882 FAR589882:FAW589882 EQV589882:ERA589882 EGZ589882:EHE589882 DXD589882:DXI589882 DNH589882:DNM589882 DDL589882:DDQ589882 CTP589882:CTU589882 CJT589882:CJY589882 BZX589882:CAC589882 BQB589882:BQG589882 BGF589882:BGK589882 AWJ589882:AWO589882 AMN589882:AMS589882 ACR589882:ACW589882 SV589882:TA589882 IZ589882:JE589882 D589882:I589882 WVL524346:WVQ524346 WLP524346:WLU524346 WBT524346:WBY524346 VRX524346:VSC524346 VIB524346:VIG524346 UYF524346:UYK524346 UOJ524346:UOO524346 UEN524346:UES524346 TUR524346:TUW524346 TKV524346:TLA524346 TAZ524346:TBE524346 SRD524346:SRI524346 SHH524346:SHM524346 RXL524346:RXQ524346 RNP524346:RNU524346 RDT524346:RDY524346 QTX524346:QUC524346 QKB524346:QKG524346 QAF524346:QAK524346 PQJ524346:PQO524346 PGN524346:PGS524346 OWR524346:OWW524346 OMV524346:ONA524346 OCZ524346:ODE524346 NTD524346:NTI524346 NJH524346:NJM524346 MZL524346:MZQ524346 MPP524346:MPU524346 MFT524346:MFY524346 LVX524346:LWC524346 LMB524346:LMG524346 LCF524346:LCK524346 KSJ524346:KSO524346 KIN524346:KIS524346 JYR524346:JYW524346 JOV524346:JPA524346 JEZ524346:JFE524346 IVD524346:IVI524346 ILH524346:ILM524346 IBL524346:IBQ524346 HRP524346:HRU524346 HHT524346:HHY524346 GXX524346:GYC524346 GOB524346:GOG524346 GEF524346:GEK524346 FUJ524346:FUO524346 FKN524346:FKS524346 FAR524346:FAW524346 EQV524346:ERA524346 EGZ524346:EHE524346 DXD524346:DXI524346 DNH524346:DNM524346 DDL524346:DDQ524346 CTP524346:CTU524346 CJT524346:CJY524346 BZX524346:CAC524346 BQB524346:BQG524346 BGF524346:BGK524346 AWJ524346:AWO524346 AMN524346:AMS524346 ACR524346:ACW524346 SV524346:TA524346 IZ524346:JE524346 D524346:I524346 WVL458810:WVQ458810 WLP458810:WLU458810 WBT458810:WBY458810 VRX458810:VSC458810 VIB458810:VIG458810 UYF458810:UYK458810 UOJ458810:UOO458810 UEN458810:UES458810 TUR458810:TUW458810 TKV458810:TLA458810 TAZ458810:TBE458810 SRD458810:SRI458810 SHH458810:SHM458810 RXL458810:RXQ458810 RNP458810:RNU458810 RDT458810:RDY458810 QTX458810:QUC458810 QKB458810:QKG458810 QAF458810:QAK458810 PQJ458810:PQO458810 PGN458810:PGS458810 OWR458810:OWW458810 OMV458810:ONA458810 OCZ458810:ODE458810 NTD458810:NTI458810 NJH458810:NJM458810 MZL458810:MZQ458810 MPP458810:MPU458810 MFT458810:MFY458810 LVX458810:LWC458810 LMB458810:LMG458810 LCF458810:LCK458810 KSJ458810:KSO458810 KIN458810:KIS458810 JYR458810:JYW458810 JOV458810:JPA458810 JEZ458810:JFE458810 IVD458810:IVI458810 ILH458810:ILM458810 IBL458810:IBQ458810 HRP458810:HRU458810 HHT458810:HHY458810 GXX458810:GYC458810 GOB458810:GOG458810 GEF458810:GEK458810 FUJ458810:FUO458810 FKN458810:FKS458810 FAR458810:FAW458810 EQV458810:ERA458810 EGZ458810:EHE458810 DXD458810:DXI458810 DNH458810:DNM458810 DDL458810:DDQ458810 CTP458810:CTU458810 CJT458810:CJY458810 BZX458810:CAC458810 BQB458810:BQG458810 BGF458810:BGK458810 AWJ458810:AWO458810 AMN458810:AMS458810 ACR458810:ACW458810 SV458810:TA458810 IZ458810:JE458810 D458810:I458810 WVL393274:WVQ393274 WLP393274:WLU393274 WBT393274:WBY393274 VRX393274:VSC393274 VIB393274:VIG393274 UYF393274:UYK393274 UOJ393274:UOO393274 UEN393274:UES393274 TUR393274:TUW393274 TKV393274:TLA393274 TAZ393274:TBE393274 SRD393274:SRI393274 SHH393274:SHM393274 RXL393274:RXQ393274 RNP393274:RNU393274 RDT393274:RDY393274 QTX393274:QUC393274 QKB393274:QKG393274 QAF393274:QAK393274 PQJ393274:PQO393274 PGN393274:PGS393274 OWR393274:OWW393274 OMV393274:ONA393274 OCZ393274:ODE393274 NTD393274:NTI393274 NJH393274:NJM393274 MZL393274:MZQ393274 MPP393274:MPU393274 MFT393274:MFY393274 LVX393274:LWC393274 LMB393274:LMG393274 LCF393274:LCK393274 KSJ393274:KSO393274 KIN393274:KIS393274 JYR393274:JYW393274 JOV393274:JPA393274 JEZ393274:JFE393274 IVD393274:IVI393274 ILH393274:ILM393274 IBL393274:IBQ393274 HRP393274:HRU393274 HHT393274:HHY393274 GXX393274:GYC393274 GOB393274:GOG393274 GEF393274:GEK393274 FUJ393274:FUO393274 FKN393274:FKS393274 FAR393274:FAW393274 EQV393274:ERA393274 EGZ393274:EHE393274 DXD393274:DXI393274 DNH393274:DNM393274 DDL393274:DDQ393274 CTP393274:CTU393274 CJT393274:CJY393274 BZX393274:CAC393274 BQB393274:BQG393274 BGF393274:BGK393274 AWJ393274:AWO393274 AMN393274:AMS393274 ACR393274:ACW393274 SV393274:TA393274 IZ393274:JE393274 D393274:I393274 WVL327738:WVQ327738 WLP327738:WLU327738 WBT327738:WBY327738 VRX327738:VSC327738 VIB327738:VIG327738 UYF327738:UYK327738 UOJ327738:UOO327738 UEN327738:UES327738 TUR327738:TUW327738 TKV327738:TLA327738 TAZ327738:TBE327738 SRD327738:SRI327738 SHH327738:SHM327738 RXL327738:RXQ327738 RNP327738:RNU327738 RDT327738:RDY327738 QTX327738:QUC327738 QKB327738:QKG327738 QAF327738:QAK327738 PQJ327738:PQO327738 PGN327738:PGS327738 OWR327738:OWW327738 OMV327738:ONA327738 OCZ327738:ODE327738 NTD327738:NTI327738 NJH327738:NJM327738 MZL327738:MZQ327738 MPP327738:MPU327738 MFT327738:MFY327738 LVX327738:LWC327738 LMB327738:LMG327738 LCF327738:LCK327738 KSJ327738:KSO327738 KIN327738:KIS327738 JYR327738:JYW327738 JOV327738:JPA327738 JEZ327738:JFE327738 IVD327738:IVI327738 ILH327738:ILM327738 IBL327738:IBQ327738 HRP327738:HRU327738 HHT327738:HHY327738 GXX327738:GYC327738 GOB327738:GOG327738 GEF327738:GEK327738 FUJ327738:FUO327738 FKN327738:FKS327738 FAR327738:FAW327738 EQV327738:ERA327738 EGZ327738:EHE327738 DXD327738:DXI327738 DNH327738:DNM327738 DDL327738:DDQ327738 CTP327738:CTU327738 CJT327738:CJY327738 BZX327738:CAC327738 BQB327738:BQG327738 BGF327738:BGK327738 AWJ327738:AWO327738 AMN327738:AMS327738 ACR327738:ACW327738 SV327738:TA327738 IZ327738:JE327738 D327738:I327738 WVL262202:WVQ262202 WLP262202:WLU262202 WBT262202:WBY262202 VRX262202:VSC262202 VIB262202:VIG262202 UYF262202:UYK262202 UOJ262202:UOO262202 UEN262202:UES262202 TUR262202:TUW262202 TKV262202:TLA262202 TAZ262202:TBE262202 SRD262202:SRI262202 SHH262202:SHM262202 RXL262202:RXQ262202 RNP262202:RNU262202 RDT262202:RDY262202 QTX262202:QUC262202 QKB262202:QKG262202 QAF262202:QAK262202 PQJ262202:PQO262202 PGN262202:PGS262202 OWR262202:OWW262202 OMV262202:ONA262202 OCZ262202:ODE262202 NTD262202:NTI262202 NJH262202:NJM262202 MZL262202:MZQ262202 MPP262202:MPU262202 MFT262202:MFY262202 LVX262202:LWC262202 LMB262202:LMG262202 LCF262202:LCK262202 KSJ262202:KSO262202 KIN262202:KIS262202 JYR262202:JYW262202 JOV262202:JPA262202 JEZ262202:JFE262202 IVD262202:IVI262202 ILH262202:ILM262202 IBL262202:IBQ262202 HRP262202:HRU262202 HHT262202:HHY262202 GXX262202:GYC262202 GOB262202:GOG262202 GEF262202:GEK262202 FUJ262202:FUO262202 FKN262202:FKS262202 FAR262202:FAW262202 EQV262202:ERA262202 EGZ262202:EHE262202 DXD262202:DXI262202 DNH262202:DNM262202 DDL262202:DDQ262202 CTP262202:CTU262202 CJT262202:CJY262202 BZX262202:CAC262202 BQB262202:BQG262202 BGF262202:BGK262202 AWJ262202:AWO262202 AMN262202:AMS262202 ACR262202:ACW262202 SV262202:TA262202 IZ262202:JE262202 D262202:I262202 WVL196666:WVQ196666 WLP196666:WLU196666 WBT196666:WBY196666 VRX196666:VSC196666 VIB196666:VIG196666 UYF196666:UYK196666 UOJ196666:UOO196666 UEN196666:UES196666 TUR196666:TUW196666 TKV196666:TLA196666 TAZ196666:TBE196666 SRD196666:SRI196666 SHH196666:SHM196666 RXL196666:RXQ196666 RNP196666:RNU196666 RDT196666:RDY196666 QTX196666:QUC196666 QKB196666:QKG196666 QAF196666:QAK196666 PQJ196666:PQO196666 PGN196666:PGS196666 OWR196666:OWW196666 OMV196666:ONA196666 OCZ196666:ODE196666 NTD196666:NTI196666 NJH196666:NJM196666 MZL196666:MZQ196666 MPP196666:MPU196666 MFT196666:MFY196666 LVX196666:LWC196666 LMB196666:LMG196666 LCF196666:LCK196666 KSJ196666:KSO196666 KIN196666:KIS196666 JYR196666:JYW196666 JOV196666:JPA196666 JEZ196666:JFE196666 IVD196666:IVI196666 ILH196666:ILM196666 IBL196666:IBQ196666 HRP196666:HRU196666 HHT196666:HHY196666 GXX196666:GYC196666 GOB196666:GOG196666 GEF196666:GEK196666 FUJ196666:FUO196666 FKN196666:FKS196666 FAR196666:FAW196666 EQV196666:ERA196666 EGZ196666:EHE196666 DXD196666:DXI196666 DNH196666:DNM196666 DDL196666:DDQ196666 CTP196666:CTU196666 CJT196666:CJY196666 BZX196666:CAC196666 BQB196666:BQG196666 BGF196666:BGK196666 AWJ196666:AWO196666 AMN196666:AMS196666 ACR196666:ACW196666 SV196666:TA196666 IZ196666:JE196666 D196666:I196666 WVL131130:WVQ131130 WLP131130:WLU131130 WBT131130:WBY131130 VRX131130:VSC131130 VIB131130:VIG131130 UYF131130:UYK131130 UOJ131130:UOO131130 UEN131130:UES131130 TUR131130:TUW131130 TKV131130:TLA131130 TAZ131130:TBE131130 SRD131130:SRI131130 SHH131130:SHM131130 RXL131130:RXQ131130 RNP131130:RNU131130 RDT131130:RDY131130 QTX131130:QUC131130 QKB131130:QKG131130 QAF131130:QAK131130 PQJ131130:PQO131130 PGN131130:PGS131130 OWR131130:OWW131130 OMV131130:ONA131130 OCZ131130:ODE131130 NTD131130:NTI131130 NJH131130:NJM131130 MZL131130:MZQ131130 MPP131130:MPU131130 MFT131130:MFY131130 LVX131130:LWC131130 LMB131130:LMG131130 LCF131130:LCK131130 KSJ131130:KSO131130 KIN131130:KIS131130 JYR131130:JYW131130 JOV131130:JPA131130 JEZ131130:JFE131130 IVD131130:IVI131130 ILH131130:ILM131130 IBL131130:IBQ131130 HRP131130:HRU131130 HHT131130:HHY131130 GXX131130:GYC131130 GOB131130:GOG131130 GEF131130:GEK131130 FUJ131130:FUO131130 FKN131130:FKS131130 FAR131130:FAW131130 EQV131130:ERA131130 EGZ131130:EHE131130 DXD131130:DXI131130 DNH131130:DNM131130 DDL131130:DDQ131130 CTP131130:CTU131130 CJT131130:CJY131130 BZX131130:CAC131130 BQB131130:BQG131130 BGF131130:BGK131130 AWJ131130:AWO131130 AMN131130:AMS131130 ACR131130:ACW131130 SV131130:TA131130 IZ131130:JE131130 D131130:I131130 WVL65594:WVQ65594 WLP65594:WLU65594 WBT65594:WBY65594 VRX65594:VSC65594 VIB65594:VIG65594 UYF65594:UYK65594 UOJ65594:UOO65594 UEN65594:UES65594 TUR65594:TUW65594 TKV65594:TLA65594 TAZ65594:TBE65594 SRD65594:SRI65594 SHH65594:SHM65594 RXL65594:RXQ65594 RNP65594:RNU65594 RDT65594:RDY65594 QTX65594:QUC65594 QKB65594:QKG65594 QAF65594:QAK65594 PQJ65594:PQO65594 PGN65594:PGS65594 OWR65594:OWW65594 OMV65594:ONA65594 OCZ65594:ODE65594 NTD65594:NTI65594 NJH65594:NJM65594 MZL65594:MZQ65594 MPP65594:MPU65594 MFT65594:MFY65594 LVX65594:LWC65594 LMB65594:LMG65594 LCF65594:LCK65594 KSJ65594:KSO65594 KIN65594:KIS65594 JYR65594:JYW65594 JOV65594:JPA65594 JEZ65594:JFE65594 IVD65594:IVI65594 ILH65594:ILM65594 IBL65594:IBQ65594 HRP65594:HRU65594 HHT65594:HHY65594 GXX65594:GYC65594 GOB65594:GOG65594 GEF65594:GEK65594 FUJ65594:FUO65594 FKN65594:FKS65594 FAR65594:FAW65594 EQV65594:ERA65594 EGZ65594:EHE65594 DXD65594:DXI65594 DNH65594:DNM65594 DDL65594:DDQ65594 CTP65594:CTU65594 CJT65594:CJY65594 BZX65594:CAC65594 BQB65594:BQG65594 BGF65594:BGK65594 AWJ65594:AWO65594 AMN65594:AMS65594 ACR65594:ACW65594 SV65594:TA65594 IZ65594:JE65594 D65594:I65594 WVL58:WVQ58 WLP58:WLU58 WBT58:WBY58 VRX58:VSC58 VIB58:VIG58 UYF58:UYK58 UOJ58:UOO58 UEN58:UES58 TUR58:TUW58 TKV58:TLA58 TAZ58:TBE58 SRD58:SRI58 SHH58:SHM58 RXL58:RXQ58 RNP58:RNU58 RDT58:RDY58 QTX58:QUC58 QKB58:QKG58 QAF58:QAK58 PQJ58:PQO58 PGN58:PGS58 OWR58:OWW58 OMV58:ONA58 OCZ58:ODE58 NTD58:NTI58 NJH58:NJM58 MZL58:MZQ58 MPP58:MPU58 MFT58:MFY58 LVX58:LWC58 LMB58:LMG58 LCF58:LCK58 KSJ58:KSO58 KIN58:KIS58 JYR58:JYW58 JOV58:JPA58 JEZ58:JFE58 IVD58:IVI58 ILH58:ILM58 IBL58:IBQ58 HRP58:HRU58 HHT58:HHY58 GXX58:GYC58 GOB58:GOG58 GEF58:GEK58 FUJ58:FUO58 FKN58:FKS58 FAR58:FAW58 EQV58:ERA58 EGZ58:EHE58 DXD58:DXI58 DNH58:DNM58 DDL58:DDQ58 CTP58:CTU58 CJT58:CJY58 BZX58:CAC58 BQB58:BQG58 BGF58:BGK58 AWJ58:AWO58 AMN58:AMS58 ACR58:ACW58 SV58:TA58 IZ58:JE58">
      <formula1>$J$58:$L$58</formula1>
    </dataValidation>
    <dataValidation type="list" allowBlank="1" showInputMessage="1" showErrorMessage="1" sqref="E67 WVM983107 WLQ983107 WBU983107 VRY983107 VIC983107 UYG983107 UOK983107 UEO983107 TUS983107 TKW983107 TBA983107 SRE983107 SHI983107 RXM983107 RNQ983107 RDU983107 QTY983107 QKC983107 QAG983107 PQK983107 PGO983107 OWS983107 OMW983107 ODA983107 NTE983107 NJI983107 MZM983107 MPQ983107 MFU983107 LVY983107 LMC983107 LCG983107 KSK983107 KIO983107 JYS983107 JOW983107 JFA983107 IVE983107 ILI983107 IBM983107 HRQ983107 HHU983107 GXY983107 GOC983107 GEG983107 FUK983107 FKO983107 FAS983107 EQW983107 EHA983107 DXE983107 DNI983107 DDM983107 CTQ983107 CJU983107 BZY983107 BQC983107 BGG983107 AWK983107 AMO983107 ACS983107 SW983107 JA983107 E983107 WVM917571 WLQ917571 WBU917571 VRY917571 VIC917571 UYG917571 UOK917571 UEO917571 TUS917571 TKW917571 TBA917571 SRE917571 SHI917571 RXM917571 RNQ917571 RDU917571 QTY917571 QKC917571 QAG917571 PQK917571 PGO917571 OWS917571 OMW917571 ODA917571 NTE917571 NJI917571 MZM917571 MPQ917571 MFU917571 LVY917571 LMC917571 LCG917571 KSK917571 KIO917571 JYS917571 JOW917571 JFA917571 IVE917571 ILI917571 IBM917571 HRQ917571 HHU917571 GXY917571 GOC917571 GEG917571 FUK917571 FKO917571 FAS917571 EQW917571 EHA917571 DXE917571 DNI917571 DDM917571 CTQ917571 CJU917571 BZY917571 BQC917571 BGG917571 AWK917571 AMO917571 ACS917571 SW917571 JA917571 E917571 WVM852035 WLQ852035 WBU852035 VRY852035 VIC852035 UYG852035 UOK852035 UEO852035 TUS852035 TKW852035 TBA852035 SRE852035 SHI852035 RXM852035 RNQ852035 RDU852035 QTY852035 QKC852035 QAG852035 PQK852035 PGO852035 OWS852035 OMW852035 ODA852035 NTE852035 NJI852035 MZM852035 MPQ852035 MFU852035 LVY852035 LMC852035 LCG852035 KSK852035 KIO852035 JYS852035 JOW852035 JFA852035 IVE852035 ILI852035 IBM852035 HRQ852035 HHU852035 GXY852035 GOC852035 GEG852035 FUK852035 FKO852035 FAS852035 EQW852035 EHA852035 DXE852035 DNI852035 DDM852035 CTQ852035 CJU852035 BZY852035 BQC852035 BGG852035 AWK852035 AMO852035 ACS852035 SW852035 JA852035 E852035 WVM786499 WLQ786499 WBU786499 VRY786499 VIC786499 UYG786499 UOK786499 UEO786499 TUS786499 TKW786499 TBA786499 SRE786499 SHI786499 RXM786499 RNQ786499 RDU786499 QTY786499 QKC786499 QAG786499 PQK786499 PGO786499 OWS786499 OMW786499 ODA786499 NTE786499 NJI786499 MZM786499 MPQ786499 MFU786499 LVY786499 LMC786499 LCG786499 KSK786499 KIO786499 JYS786499 JOW786499 JFA786499 IVE786499 ILI786499 IBM786499 HRQ786499 HHU786499 GXY786499 GOC786499 GEG786499 FUK786499 FKO786499 FAS786499 EQW786499 EHA786499 DXE786499 DNI786499 DDM786499 CTQ786499 CJU786499 BZY786499 BQC786499 BGG786499 AWK786499 AMO786499 ACS786499 SW786499 JA786499 E786499 WVM720963 WLQ720963 WBU720963 VRY720963 VIC720963 UYG720963 UOK720963 UEO720963 TUS720963 TKW720963 TBA720963 SRE720963 SHI720963 RXM720963 RNQ720963 RDU720963 QTY720963 QKC720963 QAG720963 PQK720963 PGO720963 OWS720963 OMW720963 ODA720963 NTE720963 NJI720963 MZM720963 MPQ720963 MFU720963 LVY720963 LMC720963 LCG720963 KSK720963 KIO720963 JYS720963 JOW720963 JFA720963 IVE720963 ILI720963 IBM720963 HRQ720963 HHU720963 GXY720963 GOC720963 GEG720963 FUK720963 FKO720963 FAS720963 EQW720963 EHA720963 DXE720963 DNI720963 DDM720963 CTQ720963 CJU720963 BZY720963 BQC720963 BGG720963 AWK720963 AMO720963 ACS720963 SW720963 JA720963 E720963 WVM655427 WLQ655427 WBU655427 VRY655427 VIC655427 UYG655427 UOK655427 UEO655427 TUS655427 TKW655427 TBA655427 SRE655427 SHI655427 RXM655427 RNQ655427 RDU655427 QTY655427 QKC655427 QAG655427 PQK655427 PGO655427 OWS655427 OMW655427 ODA655427 NTE655427 NJI655427 MZM655427 MPQ655427 MFU655427 LVY655427 LMC655427 LCG655427 KSK655427 KIO655427 JYS655427 JOW655427 JFA655427 IVE655427 ILI655427 IBM655427 HRQ655427 HHU655427 GXY655427 GOC655427 GEG655427 FUK655427 FKO655427 FAS655427 EQW655427 EHA655427 DXE655427 DNI655427 DDM655427 CTQ655427 CJU655427 BZY655427 BQC655427 BGG655427 AWK655427 AMO655427 ACS655427 SW655427 JA655427 E655427 WVM589891 WLQ589891 WBU589891 VRY589891 VIC589891 UYG589891 UOK589891 UEO589891 TUS589891 TKW589891 TBA589891 SRE589891 SHI589891 RXM589891 RNQ589891 RDU589891 QTY589891 QKC589891 QAG589891 PQK589891 PGO589891 OWS589891 OMW589891 ODA589891 NTE589891 NJI589891 MZM589891 MPQ589891 MFU589891 LVY589891 LMC589891 LCG589891 KSK589891 KIO589891 JYS589891 JOW589891 JFA589891 IVE589891 ILI589891 IBM589891 HRQ589891 HHU589891 GXY589891 GOC589891 GEG589891 FUK589891 FKO589891 FAS589891 EQW589891 EHA589891 DXE589891 DNI589891 DDM589891 CTQ589891 CJU589891 BZY589891 BQC589891 BGG589891 AWK589891 AMO589891 ACS589891 SW589891 JA589891 E589891 WVM524355 WLQ524355 WBU524355 VRY524355 VIC524355 UYG524355 UOK524355 UEO524355 TUS524355 TKW524355 TBA524355 SRE524355 SHI524355 RXM524355 RNQ524355 RDU524355 QTY524355 QKC524355 QAG524355 PQK524355 PGO524355 OWS524355 OMW524355 ODA524355 NTE524355 NJI524355 MZM524355 MPQ524355 MFU524355 LVY524355 LMC524355 LCG524355 KSK524355 KIO524355 JYS524355 JOW524355 JFA524355 IVE524355 ILI524355 IBM524355 HRQ524355 HHU524355 GXY524355 GOC524355 GEG524355 FUK524355 FKO524355 FAS524355 EQW524355 EHA524355 DXE524355 DNI524355 DDM524355 CTQ524355 CJU524355 BZY524355 BQC524355 BGG524355 AWK524355 AMO524355 ACS524355 SW524355 JA524355 E524355 WVM458819 WLQ458819 WBU458819 VRY458819 VIC458819 UYG458819 UOK458819 UEO458819 TUS458819 TKW458819 TBA458819 SRE458819 SHI458819 RXM458819 RNQ458819 RDU458819 QTY458819 QKC458819 QAG458819 PQK458819 PGO458819 OWS458819 OMW458819 ODA458819 NTE458819 NJI458819 MZM458819 MPQ458819 MFU458819 LVY458819 LMC458819 LCG458819 KSK458819 KIO458819 JYS458819 JOW458819 JFA458819 IVE458819 ILI458819 IBM458819 HRQ458819 HHU458819 GXY458819 GOC458819 GEG458819 FUK458819 FKO458819 FAS458819 EQW458819 EHA458819 DXE458819 DNI458819 DDM458819 CTQ458819 CJU458819 BZY458819 BQC458819 BGG458819 AWK458819 AMO458819 ACS458819 SW458819 JA458819 E458819 WVM393283 WLQ393283 WBU393283 VRY393283 VIC393283 UYG393283 UOK393283 UEO393283 TUS393283 TKW393283 TBA393283 SRE393283 SHI393283 RXM393283 RNQ393283 RDU393283 QTY393283 QKC393283 QAG393283 PQK393283 PGO393283 OWS393283 OMW393283 ODA393283 NTE393283 NJI393283 MZM393283 MPQ393283 MFU393283 LVY393283 LMC393283 LCG393283 KSK393283 KIO393283 JYS393283 JOW393283 JFA393283 IVE393283 ILI393283 IBM393283 HRQ393283 HHU393283 GXY393283 GOC393283 GEG393283 FUK393283 FKO393283 FAS393283 EQW393283 EHA393283 DXE393283 DNI393283 DDM393283 CTQ393283 CJU393283 BZY393283 BQC393283 BGG393283 AWK393283 AMO393283 ACS393283 SW393283 JA393283 E393283 WVM327747 WLQ327747 WBU327747 VRY327747 VIC327747 UYG327747 UOK327747 UEO327747 TUS327747 TKW327747 TBA327747 SRE327747 SHI327747 RXM327747 RNQ327747 RDU327747 QTY327747 QKC327747 QAG327747 PQK327747 PGO327747 OWS327747 OMW327747 ODA327747 NTE327747 NJI327747 MZM327747 MPQ327747 MFU327747 LVY327747 LMC327747 LCG327747 KSK327747 KIO327747 JYS327747 JOW327747 JFA327747 IVE327747 ILI327747 IBM327747 HRQ327747 HHU327747 GXY327747 GOC327747 GEG327747 FUK327747 FKO327747 FAS327747 EQW327747 EHA327747 DXE327747 DNI327747 DDM327747 CTQ327747 CJU327747 BZY327747 BQC327747 BGG327747 AWK327747 AMO327747 ACS327747 SW327747 JA327747 E327747 WVM262211 WLQ262211 WBU262211 VRY262211 VIC262211 UYG262211 UOK262211 UEO262211 TUS262211 TKW262211 TBA262211 SRE262211 SHI262211 RXM262211 RNQ262211 RDU262211 QTY262211 QKC262211 QAG262211 PQK262211 PGO262211 OWS262211 OMW262211 ODA262211 NTE262211 NJI262211 MZM262211 MPQ262211 MFU262211 LVY262211 LMC262211 LCG262211 KSK262211 KIO262211 JYS262211 JOW262211 JFA262211 IVE262211 ILI262211 IBM262211 HRQ262211 HHU262211 GXY262211 GOC262211 GEG262211 FUK262211 FKO262211 FAS262211 EQW262211 EHA262211 DXE262211 DNI262211 DDM262211 CTQ262211 CJU262211 BZY262211 BQC262211 BGG262211 AWK262211 AMO262211 ACS262211 SW262211 JA262211 E262211 WVM196675 WLQ196675 WBU196675 VRY196675 VIC196675 UYG196675 UOK196675 UEO196675 TUS196675 TKW196675 TBA196675 SRE196675 SHI196675 RXM196675 RNQ196675 RDU196675 QTY196675 QKC196675 QAG196675 PQK196675 PGO196675 OWS196675 OMW196675 ODA196675 NTE196675 NJI196675 MZM196675 MPQ196675 MFU196675 LVY196675 LMC196675 LCG196675 KSK196675 KIO196675 JYS196675 JOW196675 JFA196675 IVE196675 ILI196675 IBM196675 HRQ196675 HHU196675 GXY196675 GOC196675 GEG196675 FUK196675 FKO196675 FAS196675 EQW196675 EHA196675 DXE196675 DNI196675 DDM196675 CTQ196675 CJU196675 BZY196675 BQC196675 BGG196675 AWK196675 AMO196675 ACS196675 SW196675 JA196675 E196675 WVM131139 WLQ131139 WBU131139 VRY131139 VIC131139 UYG131139 UOK131139 UEO131139 TUS131139 TKW131139 TBA131139 SRE131139 SHI131139 RXM131139 RNQ131139 RDU131139 QTY131139 QKC131139 QAG131139 PQK131139 PGO131139 OWS131139 OMW131139 ODA131139 NTE131139 NJI131139 MZM131139 MPQ131139 MFU131139 LVY131139 LMC131139 LCG131139 KSK131139 KIO131139 JYS131139 JOW131139 JFA131139 IVE131139 ILI131139 IBM131139 HRQ131139 HHU131139 GXY131139 GOC131139 GEG131139 FUK131139 FKO131139 FAS131139 EQW131139 EHA131139 DXE131139 DNI131139 DDM131139 CTQ131139 CJU131139 BZY131139 BQC131139 BGG131139 AWK131139 AMO131139 ACS131139 SW131139 JA131139 E131139 WVM65603 WLQ65603 WBU65603 VRY65603 VIC65603 UYG65603 UOK65603 UEO65603 TUS65603 TKW65603 TBA65603 SRE65603 SHI65603 RXM65603 RNQ65603 RDU65603 QTY65603 QKC65603 QAG65603 PQK65603 PGO65603 OWS65603 OMW65603 ODA65603 NTE65603 NJI65603 MZM65603 MPQ65603 MFU65603 LVY65603 LMC65603 LCG65603 KSK65603 KIO65603 JYS65603 JOW65603 JFA65603 IVE65603 ILI65603 IBM65603 HRQ65603 HHU65603 GXY65603 GOC65603 GEG65603 FUK65603 FKO65603 FAS65603 EQW65603 EHA65603 DXE65603 DNI65603 DDM65603 CTQ65603 CJU65603 BZY65603 BQC65603 BGG65603 AWK65603 AMO65603 ACS65603 SW65603 JA65603 E65603 WVM67 WLQ67 WBU67 VRY67 VIC67 UYG67 UOK67 UEO67 TUS67 TKW67 TBA67 SRE67 SHI67 RXM67 RNQ67 RDU67 QTY67 QKC67 QAG67 PQK67 PGO67 OWS67 OMW67 ODA67 NTE67 NJI67 MZM67 MPQ67 MFU67 LVY67 LMC67 LCG67 KSK67 KIO67 JYS67 JOW67 JFA67 IVE67 ILI67 IBM67 HRQ67 HHU67 GXY67 GOC67 GEG67 FUK67 FKO67 FAS67 EQW67 EHA67 DXE67 DNI67 DDM67 CTQ67 CJU67 BZY67 BQC67 BGG67 AWK67 AMO67 ACS67 SW67 JA67">
      <formula1>$G$67:$H$67</formula1>
    </dataValidation>
  </dataValidations>
  <pageMargins left="0.7" right="0.7" top="0.75" bottom="0.75" header="0.3" footer="0.3"/>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sheetPr codeName="Blad34"/>
  <dimension ref="A1:Q90"/>
  <sheetViews>
    <sheetView showGridLines="0" zoomScale="90" zoomScaleNormal="90" zoomScalePageLayoutView="90" workbookViewId="0">
      <selection activeCell="I26" sqref="I26"/>
    </sheetView>
  </sheetViews>
  <sheetFormatPr defaultColWidth="8.85546875" defaultRowHeight="12.75"/>
  <cols>
    <col min="1" max="1" width="2" customWidth="1"/>
    <col min="2" max="2" width="18.140625" style="581" customWidth="1"/>
    <col min="3" max="3" width="20.85546875" style="581" customWidth="1"/>
    <col min="4" max="4" width="11.42578125" style="581" customWidth="1"/>
    <col min="5" max="5" width="12.85546875" style="581" customWidth="1"/>
    <col min="6" max="6" width="11.42578125" style="581" customWidth="1"/>
    <col min="7" max="7" width="5.7109375" style="581" customWidth="1"/>
    <col min="8" max="10" width="11.42578125" style="581" customWidth="1"/>
    <col min="11" max="11" width="5.7109375" style="581" customWidth="1"/>
    <col min="12" max="12" width="90" style="581" customWidth="1"/>
    <col min="13" max="17" width="8.85546875" style="2"/>
  </cols>
  <sheetData>
    <row r="1" spans="1:17" ht="102.75" customHeight="1">
      <c r="A1" s="518"/>
      <c r="B1" s="530"/>
      <c r="C1" s="530"/>
      <c r="D1" s="530"/>
      <c r="E1" s="530"/>
      <c r="F1" s="530"/>
      <c r="G1" s="530"/>
      <c r="H1" s="530"/>
      <c r="I1" s="530"/>
      <c r="J1" s="530"/>
      <c r="K1" s="530"/>
      <c r="L1" s="530"/>
    </row>
    <row r="2" spans="1:17" s="113" customFormat="1" ht="27.75" customHeight="1">
      <c r="A2" s="282" t="s">
        <v>888</v>
      </c>
      <c r="B2" s="283"/>
      <c r="C2" s="284"/>
      <c r="D2" s="284"/>
      <c r="E2" s="284"/>
      <c r="F2" s="285"/>
      <c r="G2" s="286"/>
      <c r="H2" s="287"/>
      <c r="I2" s="531"/>
      <c r="J2" s="286"/>
      <c r="K2" s="287"/>
      <c r="L2" s="531" t="str">
        <f>About!D2</f>
        <v>Version 4 - Public</v>
      </c>
      <c r="M2" s="2"/>
      <c r="N2" s="2"/>
      <c r="O2" s="2"/>
      <c r="P2" s="3"/>
      <c r="Q2" s="3"/>
    </row>
    <row r="3" spans="1:17" ht="15" customHeight="1">
      <c r="A3" s="518"/>
      <c r="B3" s="536"/>
      <c r="C3" s="530"/>
      <c r="D3" s="530"/>
      <c r="E3" s="530"/>
      <c r="F3" s="530"/>
      <c r="G3" s="530"/>
      <c r="H3" s="530"/>
      <c r="I3" s="530"/>
      <c r="J3" s="530"/>
      <c r="K3" s="530"/>
      <c r="L3" s="530"/>
    </row>
    <row r="4" spans="1:17" ht="15" customHeight="1">
      <c r="A4" s="518"/>
      <c r="B4" s="536" t="s">
        <v>752</v>
      </c>
      <c r="C4" s="530"/>
      <c r="D4" s="530"/>
      <c r="E4" s="530"/>
      <c r="F4" s="530"/>
      <c r="G4" s="530"/>
      <c r="H4" s="530"/>
      <c r="I4" s="530"/>
      <c r="J4" s="530"/>
      <c r="K4" s="530"/>
      <c r="L4" s="530"/>
    </row>
    <row r="5" spans="1:17" ht="15" customHeight="1">
      <c r="A5" s="518"/>
      <c r="B5" s="576" t="s">
        <v>835</v>
      </c>
      <c r="C5" s="530"/>
      <c r="D5" s="530"/>
      <c r="E5" s="530"/>
      <c r="F5" s="530"/>
      <c r="G5" s="530"/>
      <c r="H5" s="530"/>
      <c r="I5" s="530"/>
      <c r="J5" s="530"/>
      <c r="K5" s="530"/>
      <c r="L5" s="530"/>
    </row>
    <row r="6" spans="1:17" ht="15" customHeight="1">
      <c r="A6" s="518"/>
      <c r="B6" s="576" t="s">
        <v>890</v>
      </c>
      <c r="C6" s="530"/>
      <c r="D6" s="530"/>
      <c r="E6" s="530"/>
      <c r="F6" s="530"/>
      <c r="G6" s="530"/>
      <c r="H6" s="530"/>
      <c r="I6" s="530"/>
      <c r="J6" s="530"/>
      <c r="K6" s="530"/>
      <c r="L6" s="530"/>
    </row>
    <row r="7" spans="1:17" ht="15" customHeight="1">
      <c r="A7" s="518"/>
      <c r="B7" s="577"/>
      <c r="C7" s="530"/>
      <c r="D7" s="530"/>
      <c r="E7" s="530"/>
      <c r="F7" s="530"/>
      <c r="G7" s="530"/>
      <c r="H7" s="530"/>
      <c r="I7" s="530"/>
      <c r="J7" s="530"/>
      <c r="K7" s="530"/>
      <c r="L7" s="530"/>
    </row>
    <row r="8" spans="1:17" ht="15" customHeight="1">
      <c r="A8" s="518"/>
      <c r="B8" s="576" t="s">
        <v>912</v>
      </c>
      <c r="C8" s="530"/>
      <c r="D8" s="530"/>
      <c r="E8" s="530"/>
      <c r="F8" s="533" t="s">
        <v>913</v>
      </c>
      <c r="G8" s="533"/>
      <c r="H8" s="533"/>
      <c r="I8" s="533"/>
      <c r="J8" s="533"/>
      <c r="K8" s="533"/>
      <c r="L8" s="533"/>
    </row>
    <row r="9" spans="1:17" ht="15" customHeight="1">
      <c r="A9" s="518"/>
      <c r="B9" s="530"/>
      <c r="C9" s="530"/>
      <c r="D9" s="530" t="s">
        <v>914</v>
      </c>
      <c r="E9" s="530"/>
      <c r="F9" s="530"/>
      <c r="G9" s="530"/>
      <c r="H9" s="530"/>
      <c r="I9" s="530"/>
      <c r="J9" s="530"/>
      <c r="K9" s="530"/>
      <c r="L9" s="530"/>
    </row>
    <row r="10" spans="1:17" ht="15" customHeight="1">
      <c r="A10" s="518"/>
      <c r="B10" s="576" t="s">
        <v>753</v>
      </c>
      <c r="C10" s="530"/>
      <c r="D10" s="530"/>
      <c r="E10" s="530"/>
      <c r="F10" s="530"/>
      <c r="G10" s="530"/>
      <c r="H10" s="530"/>
      <c r="I10" s="530"/>
      <c r="J10" s="530"/>
      <c r="K10" s="530"/>
      <c r="L10" s="530"/>
    </row>
    <row r="11" spans="1:17" ht="15" customHeight="1">
      <c r="A11" s="518"/>
      <c r="B11" s="589" t="s">
        <v>754</v>
      </c>
      <c r="C11" s="530"/>
      <c r="D11" s="530"/>
      <c r="E11" s="530"/>
      <c r="F11" s="530"/>
      <c r="G11" s="530"/>
      <c r="H11" s="530"/>
      <c r="I11" s="530"/>
      <c r="J11" s="530"/>
      <c r="K11" s="530"/>
      <c r="L11" s="530"/>
    </row>
    <row r="12" spans="1:17" ht="15" customHeight="1">
      <c r="A12" s="518"/>
      <c r="B12" s="576" t="s">
        <v>851</v>
      </c>
      <c r="C12" s="530"/>
      <c r="D12" s="530"/>
      <c r="E12" s="530"/>
      <c r="F12" s="530"/>
      <c r="G12" s="530"/>
      <c r="H12" s="530"/>
      <c r="I12" s="530"/>
      <c r="J12" s="530"/>
      <c r="K12" s="530"/>
      <c r="L12" s="530"/>
    </row>
    <row r="13" spans="1:17" ht="15" customHeight="1">
      <c r="A13" s="518"/>
      <c r="B13" s="577"/>
      <c r="C13" s="530"/>
      <c r="D13" s="530"/>
      <c r="E13" s="530"/>
      <c r="F13" s="530"/>
      <c r="G13" s="530"/>
      <c r="H13" s="530"/>
      <c r="I13" s="530"/>
      <c r="J13" s="530"/>
      <c r="K13" s="530"/>
      <c r="L13" s="530"/>
    </row>
    <row r="14" spans="1:17" ht="15" customHeight="1">
      <c r="A14" s="518"/>
      <c r="B14" s="536" t="s">
        <v>946</v>
      </c>
      <c r="C14" s="530"/>
      <c r="D14" s="530"/>
      <c r="E14" s="530"/>
      <c r="F14" s="530"/>
      <c r="G14" s="530"/>
      <c r="H14" s="530"/>
      <c r="I14" s="530"/>
      <c r="J14" s="530"/>
      <c r="K14" s="530"/>
      <c r="L14" s="530"/>
    </row>
    <row r="15" spans="1:17" ht="15" customHeight="1">
      <c r="A15" s="518"/>
      <c r="B15" s="576" t="s">
        <v>858</v>
      </c>
      <c r="C15" s="530" t="s">
        <v>948</v>
      </c>
      <c r="D15" s="576" t="s">
        <v>815</v>
      </c>
      <c r="E15" s="530"/>
      <c r="F15" s="530"/>
      <c r="G15" s="530"/>
      <c r="H15" s="530"/>
      <c r="I15" s="530"/>
      <c r="J15" s="530"/>
      <c r="K15" s="530"/>
      <c r="L15" s="530"/>
    </row>
    <row r="16" spans="1:17" ht="15" customHeight="1">
      <c r="A16" s="518"/>
      <c r="B16" s="576" t="s">
        <v>859</v>
      </c>
      <c r="C16" s="530" t="s">
        <v>948</v>
      </c>
      <c r="D16" s="576" t="s">
        <v>815</v>
      </c>
      <c r="E16" s="530"/>
      <c r="F16" s="530"/>
      <c r="G16" s="530"/>
      <c r="H16" s="530"/>
      <c r="I16" s="530"/>
      <c r="J16" s="530"/>
      <c r="K16" s="530"/>
      <c r="L16" s="530"/>
      <c r="M16" s="34"/>
    </row>
    <row r="17" spans="1:17" ht="15" customHeight="1">
      <c r="A17" s="518"/>
      <c r="B17" s="530" t="s">
        <v>831</v>
      </c>
      <c r="C17" s="530"/>
      <c r="D17" s="530" t="s">
        <v>832</v>
      </c>
      <c r="E17" s="530"/>
      <c r="F17" s="530"/>
      <c r="G17" s="530"/>
      <c r="H17" s="530"/>
      <c r="I17" s="530"/>
      <c r="J17" s="530"/>
      <c r="K17" s="530"/>
      <c r="L17" s="530"/>
    </row>
    <row r="18" spans="1:17" ht="15" customHeight="1">
      <c r="A18" s="518"/>
      <c r="B18" s="530"/>
      <c r="C18" s="530"/>
      <c r="D18" s="591" t="s">
        <v>1483</v>
      </c>
      <c r="E18" s="530"/>
      <c r="F18" s="530"/>
      <c r="G18" s="530"/>
      <c r="H18" s="530"/>
      <c r="I18" s="530"/>
      <c r="J18" s="530"/>
      <c r="K18" s="530"/>
      <c r="L18" s="530"/>
    </row>
    <row r="19" spans="1:17" ht="15" customHeight="1">
      <c r="A19" s="518"/>
      <c r="B19" s="530"/>
      <c r="C19" s="530"/>
      <c r="D19" s="591" t="s">
        <v>1484</v>
      </c>
      <c r="E19" s="530"/>
      <c r="F19" s="530"/>
      <c r="G19" s="530"/>
      <c r="H19" s="530"/>
      <c r="I19" s="530"/>
      <c r="J19" s="530"/>
      <c r="K19" s="530"/>
      <c r="L19" s="530"/>
    </row>
    <row r="20" spans="1:17" ht="15" customHeight="1">
      <c r="A20" s="518"/>
      <c r="B20" s="535" t="s">
        <v>927</v>
      </c>
      <c r="C20" s="530" t="s">
        <v>952</v>
      </c>
      <c r="D20" s="530" t="s">
        <v>869</v>
      </c>
      <c r="E20" s="530"/>
      <c r="F20" s="530"/>
      <c r="G20" s="530"/>
      <c r="H20" s="530"/>
      <c r="I20" s="530"/>
      <c r="J20" s="530"/>
      <c r="K20" s="530"/>
      <c r="L20" s="530"/>
    </row>
    <row r="21" spans="1:17" ht="15" customHeight="1">
      <c r="A21" s="518"/>
      <c r="B21" s="535" t="s">
        <v>928</v>
      </c>
      <c r="C21" s="530" t="s">
        <v>952</v>
      </c>
      <c r="D21" s="530" t="s">
        <v>870</v>
      </c>
      <c r="E21" s="530"/>
      <c r="F21" s="530"/>
      <c r="G21" s="530"/>
      <c r="H21" s="530"/>
      <c r="I21" s="530"/>
      <c r="J21" s="530"/>
      <c r="K21" s="530"/>
      <c r="L21" s="530"/>
    </row>
    <row r="22" spans="1:17" ht="15" customHeight="1">
      <c r="A22" s="518"/>
      <c r="B22" s="535" t="s">
        <v>905</v>
      </c>
      <c r="C22" s="530" t="s">
        <v>952</v>
      </c>
      <c r="D22" s="530" t="s">
        <v>871</v>
      </c>
      <c r="E22" s="530"/>
      <c r="F22" s="530"/>
      <c r="G22" s="530"/>
      <c r="H22" s="530"/>
      <c r="I22" s="530"/>
      <c r="J22" s="530"/>
      <c r="K22" s="530"/>
      <c r="L22" s="530"/>
    </row>
    <row r="23" spans="1:17" ht="15" customHeight="1">
      <c r="A23" s="518"/>
      <c r="B23" s="535"/>
      <c r="C23" s="530"/>
      <c r="D23" s="588"/>
      <c r="E23" s="530"/>
      <c r="F23" s="530"/>
      <c r="G23" s="530"/>
      <c r="H23" s="530"/>
      <c r="I23" s="530"/>
      <c r="J23" s="530"/>
      <c r="K23" s="530"/>
      <c r="L23" s="530"/>
    </row>
    <row r="24" spans="1:17" s="581" customFormat="1" ht="24.75" customHeight="1">
      <c r="A24" s="530"/>
      <c r="B24" s="963" t="s">
        <v>751</v>
      </c>
      <c r="C24" s="964"/>
      <c r="D24" s="964"/>
      <c r="E24" s="964"/>
      <c r="F24" s="964"/>
      <c r="G24" s="964"/>
      <c r="H24" s="964"/>
      <c r="I24" s="964"/>
      <c r="J24" s="964"/>
      <c r="K24" s="964"/>
      <c r="L24" s="965"/>
      <c r="M24" s="574"/>
      <c r="N24" s="574"/>
      <c r="O24" s="574"/>
      <c r="P24" s="574"/>
      <c r="Q24" s="574"/>
    </row>
    <row r="25" spans="1:17" s="581" customFormat="1" ht="15.75" customHeight="1">
      <c r="A25" s="530"/>
      <c r="B25" s="586"/>
      <c r="C25" s="539"/>
      <c r="D25" s="539"/>
      <c r="E25" s="539"/>
      <c r="F25" s="539"/>
      <c r="G25" s="539"/>
      <c r="H25" s="587"/>
      <c r="I25" s="617" t="s">
        <v>1385</v>
      </c>
      <c r="J25" s="539"/>
      <c r="K25" s="539"/>
      <c r="L25" s="619" t="s">
        <v>1380</v>
      </c>
      <c r="M25" s="574"/>
      <c r="N25" s="574"/>
      <c r="O25" s="574"/>
      <c r="P25" s="574"/>
      <c r="Q25" s="574"/>
    </row>
    <row r="26" spans="1:17" ht="18.75" customHeight="1">
      <c r="A26" s="518"/>
      <c r="B26" s="536"/>
      <c r="C26" s="576" t="s">
        <v>816</v>
      </c>
      <c r="D26" s="530"/>
      <c r="E26" s="530"/>
      <c r="F26" s="3050"/>
      <c r="G26" s="3051"/>
      <c r="H26" s="3052"/>
      <c r="I26" s="617" t="s">
        <v>1386</v>
      </c>
      <c r="J26" s="530"/>
      <c r="K26" s="530"/>
      <c r="L26" s="620" t="s">
        <v>1327</v>
      </c>
    </row>
    <row r="27" spans="1:17" ht="22.5" customHeight="1">
      <c r="A27" s="518"/>
      <c r="B27" s="536"/>
      <c r="C27" s="530"/>
      <c r="D27" s="530"/>
      <c r="E27" s="530"/>
      <c r="F27" s="530"/>
      <c r="G27" s="530"/>
      <c r="H27" s="530"/>
      <c r="I27" s="617" t="s">
        <v>1387</v>
      </c>
      <c r="J27" s="530"/>
      <c r="K27" s="530"/>
      <c r="L27" s="576" t="s">
        <v>1381</v>
      </c>
    </row>
    <row r="28" spans="1:17" ht="15" customHeight="1">
      <c r="A28" s="518"/>
      <c r="B28" s="582" t="s">
        <v>1382</v>
      </c>
      <c r="C28" s="583"/>
      <c r="D28" s="583"/>
      <c r="E28" s="583"/>
      <c r="F28" s="583"/>
      <c r="G28" s="583"/>
      <c r="H28" s="583"/>
      <c r="I28" s="583"/>
      <c r="J28" s="583"/>
      <c r="K28" s="583"/>
      <c r="L28" s="584"/>
    </row>
    <row r="29" spans="1:17" ht="15" customHeight="1">
      <c r="A29" s="518"/>
      <c r="B29" s="576" t="s">
        <v>833</v>
      </c>
      <c r="C29" s="530"/>
      <c r="D29" s="530"/>
      <c r="E29" s="530"/>
      <c r="F29" s="530"/>
      <c r="G29" s="530"/>
      <c r="H29" s="530"/>
      <c r="I29" s="530"/>
      <c r="J29" s="530"/>
      <c r="K29" s="530"/>
      <c r="L29" s="530"/>
    </row>
    <row r="30" spans="1:17" ht="15" customHeight="1">
      <c r="A30" s="518"/>
      <c r="B30" s="530" t="s">
        <v>891</v>
      </c>
      <c r="C30" s="530"/>
      <c r="D30" s="530"/>
      <c r="E30" s="530"/>
      <c r="F30" s="530"/>
      <c r="G30" s="530"/>
      <c r="H30" s="530"/>
      <c r="I30" s="530"/>
      <c r="J30" s="530"/>
      <c r="K30" s="530"/>
      <c r="L30" s="530"/>
    </row>
    <row r="31" spans="1:17" ht="15" customHeight="1">
      <c r="A31" s="518"/>
      <c r="B31" s="530" t="s">
        <v>892</v>
      </c>
      <c r="C31" s="530"/>
      <c r="D31" s="530"/>
      <c r="E31" s="530"/>
      <c r="F31" s="530"/>
      <c r="G31" s="530"/>
      <c r="H31" s="530"/>
      <c r="I31" s="530"/>
      <c r="J31" s="530"/>
      <c r="K31" s="530"/>
      <c r="L31" s="530"/>
    </row>
    <row r="32" spans="1:17" ht="15" customHeight="1">
      <c r="A32" s="518"/>
      <c r="B32" s="530"/>
      <c r="C32" s="530"/>
      <c r="D32" s="530"/>
      <c r="E32" s="530"/>
      <c r="F32" s="530"/>
      <c r="G32" s="530"/>
      <c r="H32" s="530"/>
      <c r="I32" s="530"/>
      <c r="J32" s="530"/>
      <c r="K32" s="530"/>
      <c r="L32" s="530"/>
    </row>
    <row r="33" spans="1:12" ht="15" customHeight="1">
      <c r="A33" s="518"/>
      <c r="B33" s="576" t="s">
        <v>857</v>
      </c>
      <c r="C33" s="530"/>
      <c r="D33" s="530"/>
      <c r="E33" s="530"/>
      <c r="F33" s="530"/>
      <c r="G33" s="576" t="s">
        <v>856</v>
      </c>
      <c r="H33" s="530"/>
      <c r="I33" s="530"/>
      <c r="J33" s="530"/>
      <c r="K33" s="530"/>
      <c r="L33" s="530"/>
    </row>
    <row r="34" spans="1:12" ht="15" customHeight="1">
      <c r="A34" s="518"/>
      <c r="B34" s="576" t="s">
        <v>852</v>
      </c>
      <c r="C34" s="530"/>
      <c r="D34" s="530"/>
      <c r="E34" s="530"/>
      <c r="F34" s="530"/>
      <c r="G34" s="530"/>
      <c r="H34" s="530"/>
      <c r="I34" s="530"/>
      <c r="J34" s="530"/>
      <c r="K34" s="530"/>
      <c r="L34" s="530"/>
    </row>
    <row r="35" spans="1:12" ht="8.25" customHeight="1">
      <c r="A35" s="518"/>
      <c r="B35" s="577"/>
      <c r="C35" s="530"/>
      <c r="D35" s="530"/>
      <c r="E35" s="530"/>
      <c r="F35" s="530"/>
      <c r="G35" s="530"/>
      <c r="H35" s="530"/>
      <c r="I35" s="530"/>
      <c r="J35" s="530"/>
      <c r="K35" s="530"/>
      <c r="L35" s="530"/>
    </row>
    <row r="36" spans="1:12" s="574" customFormat="1" ht="25.5" customHeight="1">
      <c r="A36" s="530"/>
      <c r="B36" s="576" t="s">
        <v>1331</v>
      </c>
      <c r="C36" s="530"/>
      <c r="D36" s="2996"/>
      <c r="E36" s="2976"/>
      <c r="F36" s="2977"/>
      <c r="G36" s="530"/>
      <c r="H36" s="530"/>
      <c r="I36" s="530"/>
      <c r="J36" s="530"/>
      <c r="K36" s="530"/>
      <c r="L36" s="576" t="s">
        <v>1332</v>
      </c>
    </row>
    <row r="37" spans="1:12" s="574" customFormat="1" ht="33.75" customHeight="1">
      <c r="A37" s="530"/>
      <c r="B37" s="536"/>
      <c r="C37" s="530"/>
      <c r="D37" s="536" t="s">
        <v>995</v>
      </c>
      <c r="E37" s="530"/>
      <c r="F37" s="530"/>
      <c r="G37" s="530"/>
      <c r="H37" s="536" t="s">
        <v>996</v>
      </c>
      <c r="I37" s="530"/>
      <c r="J37" s="530"/>
      <c r="K37" s="530"/>
      <c r="L37" s="530"/>
    </row>
    <row r="38" spans="1:12" ht="3" customHeight="1">
      <c r="A38" s="518"/>
      <c r="B38" s="537"/>
      <c r="C38" s="535"/>
      <c r="D38" s="530"/>
      <c r="E38" s="530"/>
      <c r="F38" s="530"/>
      <c r="G38" s="530"/>
      <c r="H38" s="3053"/>
      <c r="I38" s="3053"/>
      <c r="J38" s="3053"/>
      <c r="K38" s="530"/>
      <c r="L38" s="530"/>
    </row>
    <row r="39" spans="1:12" ht="15" customHeight="1">
      <c r="A39" s="518"/>
      <c r="B39" s="537" t="s">
        <v>916</v>
      </c>
      <c r="C39" s="541"/>
      <c r="D39" s="530"/>
      <c r="E39" s="530"/>
      <c r="F39" s="530"/>
      <c r="G39" s="530"/>
      <c r="H39" s="530"/>
      <c r="I39" s="530"/>
      <c r="J39" s="530"/>
      <c r="K39" s="530"/>
      <c r="L39" s="530"/>
    </row>
    <row r="40" spans="1:12" ht="15" customHeight="1">
      <c r="A40" s="518"/>
      <c r="B40" s="542"/>
      <c r="C40" s="541" t="s">
        <v>917</v>
      </c>
      <c r="D40" s="2996" t="s">
        <v>853</v>
      </c>
      <c r="E40" s="2976"/>
      <c r="F40" s="2977"/>
      <c r="G40" s="530"/>
      <c r="H40" s="2960" t="str">
        <f>D40</f>
        <v>Temperate moist</v>
      </c>
      <c r="I40" s="2961"/>
      <c r="J40" s="2962"/>
      <c r="K40" s="530"/>
      <c r="L40" s="530" t="s">
        <v>918</v>
      </c>
    </row>
    <row r="41" spans="1:12" ht="15" customHeight="1">
      <c r="A41" s="518"/>
      <c r="B41" s="530"/>
      <c r="C41" s="541" t="s">
        <v>919</v>
      </c>
      <c r="D41" s="2975" t="s">
        <v>880</v>
      </c>
      <c r="E41" s="2976"/>
      <c r="F41" s="2977"/>
      <c r="G41" s="530"/>
      <c r="H41" s="2960" t="str">
        <f>D41</f>
        <v>High activity clay</v>
      </c>
      <c r="I41" s="2961"/>
      <c r="J41" s="2962"/>
      <c r="K41" s="530"/>
      <c r="L41" s="530" t="s">
        <v>920</v>
      </c>
    </row>
    <row r="42" spans="1:12" ht="15" customHeight="1">
      <c r="A42" s="518"/>
      <c r="B42" s="530"/>
      <c r="C42" s="541" t="s">
        <v>923</v>
      </c>
      <c r="D42" s="2996" t="s">
        <v>749</v>
      </c>
      <c r="E42" s="2976"/>
      <c r="F42" s="2977"/>
      <c r="G42" s="530"/>
      <c r="H42" s="2975" t="s">
        <v>894</v>
      </c>
      <c r="I42" s="2976"/>
      <c r="J42" s="2977"/>
      <c r="K42" s="530"/>
      <c r="L42" s="576" t="s">
        <v>889</v>
      </c>
    </row>
    <row r="43" spans="1:12" ht="15" customHeight="1">
      <c r="A43" s="518"/>
      <c r="B43" s="530"/>
      <c r="C43" s="541" t="s">
        <v>926</v>
      </c>
      <c r="D43" s="2996" t="s">
        <v>750</v>
      </c>
      <c r="E43" s="2976"/>
      <c r="F43" s="2977"/>
      <c r="G43" s="530"/>
      <c r="H43" s="2975" t="s">
        <v>895</v>
      </c>
      <c r="I43" s="2976"/>
      <c r="J43" s="2977"/>
      <c r="K43" s="530"/>
      <c r="L43" s="576" t="s">
        <v>889</v>
      </c>
    </row>
    <row r="44" spans="1:12" ht="15" customHeight="1">
      <c r="A44" s="518"/>
      <c r="B44" s="530"/>
      <c r="C44" s="541"/>
      <c r="D44" s="530"/>
      <c r="E44" s="530"/>
      <c r="F44" s="530"/>
      <c r="G44" s="530"/>
      <c r="H44" s="539"/>
      <c r="I44" s="539"/>
      <c r="J44" s="539"/>
      <c r="K44" s="530"/>
      <c r="L44" s="530"/>
    </row>
    <row r="45" spans="1:12" ht="15" customHeight="1">
      <c r="A45" s="518"/>
      <c r="B45" s="530"/>
      <c r="C45" s="541" t="s">
        <v>921</v>
      </c>
      <c r="D45" s="540">
        <v>88</v>
      </c>
      <c r="E45" s="530" t="s">
        <v>999</v>
      </c>
      <c r="F45" s="530"/>
      <c r="G45" s="530"/>
      <c r="H45" s="575">
        <f>D45</f>
        <v>88</v>
      </c>
      <c r="I45" s="530" t="s">
        <v>999</v>
      </c>
      <c r="J45" s="539"/>
      <c r="K45" s="530"/>
      <c r="L45" s="530" t="s">
        <v>922</v>
      </c>
    </row>
    <row r="46" spans="1:12" ht="15" customHeight="1">
      <c r="A46" s="518"/>
      <c r="B46" s="530"/>
      <c r="C46" s="541" t="s">
        <v>927</v>
      </c>
      <c r="D46" s="540">
        <v>0.69</v>
      </c>
      <c r="E46" s="530"/>
      <c r="F46" s="530"/>
      <c r="G46" s="530"/>
      <c r="H46" s="575">
        <f>D46</f>
        <v>0.69</v>
      </c>
      <c r="I46" s="530"/>
      <c r="J46" s="530"/>
      <c r="K46" s="530"/>
      <c r="L46" s="530" t="s">
        <v>897</v>
      </c>
    </row>
    <row r="47" spans="1:12" ht="15" customHeight="1">
      <c r="A47" s="518"/>
      <c r="B47" s="530"/>
      <c r="C47" s="541" t="s">
        <v>928</v>
      </c>
      <c r="D47" s="543">
        <v>1.1499999999999999</v>
      </c>
      <c r="E47" s="530"/>
      <c r="F47" s="530"/>
      <c r="G47" s="530"/>
      <c r="H47" s="543">
        <v>1</v>
      </c>
      <c r="I47" s="530"/>
      <c r="J47" s="530"/>
      <c r="K47" s="530"/>
      <c r="L47" s="530" t="s">
        <v>897</v>
      </c>
    </row>
    <row r="48" spans="1:12" ht="15" customHeight="1">
      <c r="A48" s="518"/>
      <c r="B48" s="530"/>
      <c r="C48" s="541" t="s">
        <v>905</v>
      </c>
      <c r="D48" s="543">
        <v>1</v>
      </c>
      <c r="E48" s="530"/>
      <c r="F48" s="530"/>
      <c r="G48" s="530"/>
      <c r="H48" s="543">
        <v>1.1100000000000001</v>
      </c>
      <c r="I48" s="530"/>
      <c r="J48" s="530"/>
      <c r="K48" s="530"/>
      <c r="L48" s="530" t="s">
        <v>897</v>
      </c>
    </row>
    <row r="49" spans="1:12" ht="15" customHeight="1">
      <c r="A49" s="518"/>
      <c r="B49" s="530"/>
      <c r="C49" s="530"/>
      <c r="D49" s="530"/>
      <c r="E49" s="530"/>
      <c r="F49" s="530"/>
      <c r="G49" s="530"/>
      <c r="H49" s="530"/>
      <c r="I49" s="530"/>
      <c r="J49" s="530"/>
      <c r="K49" s="530"/>
      <c r="L49" s="530"/>
    </row>
    <row r="50" spans="1:12" ht="15" customHeight="1">
      <c r="A50" s="518"/>
      <c r="B50" s="536"/>
      <c r="C50" s="530"/>
      <c r="D50" s="530"/>
      <c r="E50" s="530"/>
      <c r="F50" s="530"/>
      <c r="G50" s="530"/>
      <c r="H50" s="530"/>
      <c r="I50" s="530"/>
      <c r="J50" s="530"/>
      <c r="K50" s="530"/>
      <c r="L50" s="530"/>
    </row>
    <row r="51" spans="1:12" ht="15" customHeight="1">
      <c r="A51" s="518"/>
      <c r="B51" s="536" t="s">
        <v>907</v>
      </c>
      <c r="C51" s="530"/>
      <c r="D51" s="594" t="s">
        <v>817</v>
      </c>
      <c r="E51" s="544">
        <f>(D45*D46*(IF(AND(D47&gt;0,D47&lt;1000),D47,1))*(IF(AND(D48&gt;0,D48&lt;1000),D48,1)))</f>
        <v>69.827999999999989</v>
      </c>
      <c r="F51" s="530" t="s">
        <v>999</v>
      </c>
      <c r="G51" s="530"/>
      <c r="H51" s="594" t="s">
        <v>818</v>
      </c>
      <c r="I51" s="590">
        <f>(H45*H46*(IF(AND(H47&gt;0,H47&lt;1000),H47,1))*(IF(AND(H48&gt;0,H48&lt;1000),H48,1)))</f>
        <v>67.399200000000008</v>
      </c>
      <c r="J51" s="530" t="s">
        <v>999</v>
      </c>
      <c r="K51" s="530"/>
      <c r="L51" s="530"/>
    </row>
    <row r="52" spans="1:12" ht="15" customHeight="1">
      <c r="A52" s="518"/>
      <c r="B52" s="536" t="s">
        <v>834</v>
      </c>
      <c r="C52" s="530"/>
      <c r="D52" s="578" t="s">
        <v>823</v>
      </c>
      <c r="E52" s="585">
        <f>-('Esca (EnVer)'!I$51-'Esca (EnVer)'!E$51)*3.664/20</f>
        <v>0.44495615999999655</v>
      </c>
      <c r="F52" s="579" t="s">
        <v>746</v>
      </c>
      <c r="G52" s="530"/>
      <c r="H52" s="541"/>
      <c r="I52" s="544"/>
      <c r="J52" s="530"/>
      <c r="K52" s="530"/>
      <c r="L52" s="530" t="s">
        <v>1375</v>
      </c>
    </row>
    <row r="53" spans="1:12" ht="15" customHeight="1">
      <c r="A53" s="518"/>
      <c r="B53" s="536"/>
      <c r="C53" s="530"/>
      <c r="D53" s="541"/>
      <c r="E53" s="544"/>
      <c r="F53" s="530"/>
      <c r="G53" s="530"/>
      <c r="H53" s="541"/>
      <c r="I53" s="544"/>
      <c r="J53" s="530"/>
      <c r="K53" s="530"/>
      <c r="L53" s="530"/>
    </row>
    <row r="54" spans="1:12" ht="15" customHeight="1">
      <c r="A54" s="518"/>
      <c r="B54" s="582" t="s">
        <v>1328</v>
      </c>
      <c r="C54" s="583"/>
      <c r="D54" s="583"/>
      <c r="E54" s="583"/>
      <c r="F54" s="583"/>
      <c r="G54" s="583"/>
      <c r="H54" s="583"/>
      <c r="I54" s="583"/>
      <c r="J54" s="583"/>
      <c r="K54" s="583"/>
      <c r="L54" s="584"/>
    </row>
    <row r="55" spans="1:12" ht="15" customHeight="1">
      <c r="A55" s="518"/>
      <c r="B55" s="576" t="s">
        <v>854</v>
      </c>
      <c r="C55" s="530"/>
      <c r="D55" s="541"/>
      <c r="E55" s="544"/>
      <c r="F55" s="530"/>
      <c r="G55" s="530"/>
      <c r="H55" s="541"/>
      <c r="I55" s="544"/>
      <c r="J55" s="530"/>
      <c r="K55" s="530"/>
      <c r="L55" s="530"/>
    </row>
    <row r="56" spans="1:12" ht="15" customHeight="1">
      <c r="A56" s="518"/>
      <c r="B56" s="576"/>
      <c r="C56" s="530"/>
      <c r="D56" s="541"/>
      <c r="E56" s="544"/>
      <c r="F56" s="530"/>
      <c r="G56" s="530"/>
      <c r="H56" s="541"/>
      <c r="I56" s="544"/>
      <c r="J56" s="530"/>
      <c r="K56" s="530"/>
      <c r="L56" s="530"/>
    </row>
    <row r="57" spans="1:12" ht="15" customHeight="1">
      <c r="A57" s="518"/>
      <c r="B57" s="536" t="s">
        <v>855</v>
      </c>
      <c r="C57" s="530"/>
      <c r="D57" s="541"/>
      <c r="E57" s="544"/>
      <c r="F57" s="530"/>
      <c r="G57" s="530"/>
      <c r="H57" s="541"/>
      <c r="I57" s="544"/>
      <c r="J57" s="530"/>
      <c r="K57" s="530"/>
      <c r="L57" s="530"/>
    </row>
    <row r="58" spans="1:12" ht="15" customHeight="1">
      <c r="A58" s="518"/>
      <c r="B58" s="589" t="s">
        <v>755</v>
      </c>
      <c r="C58" s="530"/>
      <c r="D58" s="2966"/>
      <c r="E58" s="2967"/>
      <c r="F58" s="2967"/>
      <c r="G58" s="2967"/>
      <c r="H58" s="2967"/>
      <c r="I58" s="2968"/>
      <c r="J58" s="602" t="s">
        <v>756</v>
      </c>
      <c r="K58" s="602" t="s">
        <v>757</v>
      </c>
      <c r="L58" s="602" t="s">
        <v>758</v>
      </c>
    </row>
    <row r="59" spans="1:12" ht="15" customHeight="1">
      <c r="A59" s="518"/>
      <c r="B59" s="576" t="s">
        <v>759</v>
      </c>
      <c r="C59" s="576"/>
      <c r="D59" s="2969"/>
      <c r="E59" s="2970"/>
      <c r="F59" s="2970"/>
      <c r="G59" s="2970"/>
      <c r="H59" s="2970"/>
      <c r="I59" s="2971"/>
      <c r="J59" s="530"/>
      <c r="K59" s="576" t="s">
        <v>760</v>
      </c>
      <c r="L59" s="576" t="s">
        <v>848</v>
      </c>
    </row>
    <row r="60" spans="1:12" ht="15" customHeight="1">
      <c r="A60" s="518"/>
      <c r="B60" s="576"/>
      <c r="C60" s="576"/>
      <c r="D60" s="2972"/>
      <c r="E60" s="2973"/>
      <c r="F60" s="2973"/>
      <c r="G60" s="2973"/>
      <c r="H60" s="2973"/>
      <c r="I60" s="2974"/>
      <c r="J60" s="530"/>
      <c r="K60" s="530"/>
      <c r="L60" s="576" t="s">
        <v>767</v>
      </c>
    </row>
    <row r="61" spans="1:12" ht="15" customHeight="1">
      <c r="A61" s="518"/>
      <c r="B61" s="576"/>
      <c r="C61" s="576"/>
      <c r="D61" s="2972"/>
      <c r="E61" s="2973"/>
      <c r="F61" s="2973"/>
      <c r="G61" s="2973"/>
      <c r="H61" s="2973"/>
      <c r="I61" s="2974"/>
      <c r="J61" s="530"/>
      <c r="K61" s="530"/>
      <c r="L61" s="576" t="s">
        <v>849</v>
      </c>
    </row>
    <row r="62" spans="1:12" ht="15" customHeight="1">
      <c r="A62" s="518"/>
      <c r="B62" s="576"/>
      <c r="C62" s="576"/>
      <c r="D62" s="2972"/>
      <c r="E62" s="2973"/>
      <c r="F62" s="2973"/>
      <c r="G62" s="2973"/>
      <c r="H62" s="2973"/>
      <c r="I62" s="2974"/>
      <c r="J62" s="530"/>
      <c r="K62" s="530"/>
      <c r="L62" s="530"/>
    </row>
    <row r="63" spans="1:12" ht="15" customHeight="1">
      <c r="A63" s="518"/>
      <c r="B63" s="576"/>
      <c r="C63" s="576"/>
      <c r="D63" s="2963"/>
      <c r="E63" s="2964"/>
      <c r="F63" s="2964"/>
      <c r="G63" s="2964"/>
      <c r="H63" s="2964"/>
      <c r="I63" s="2965"/>
      <c r="J63" s="530"/>
      <c r="K63" s="530"/>
      <c r="L63" s="530"/>
    </row>
    <row r="64" spans="1:12" ht="15" customHeight="1">
      <c r="A64" s="518"/>
      <c r="B64" s="536"/>
      <c r="C64" s="530"/>
      <c r="D64" s="541"/>
      <c r="E64" s="544"/>
      <c r="F64" s="530"/>
      <c r="G64" s="530"/>
      <c r="H64" s="541"/>
      <c r="I64" s="544"/>
      <c r="J64" s="530"/>
      <c r="K64" s="530"/>
      <c r="L64" s="530"/>
    </row>
    <row r="65" spans="1:12" ht="15" customHeight="1">
      <c r="A65" s="518"/>
      <c r="B65" s="592" t="s">
        <v>761</v>
      </c>
      <c r="C65" s="530"/>
      <c r="D65" s="541"/>
      <c r="E65" s="544"/>
      <c r="F65" s="530"/>
      <c r="G65" s="530"/>
      <c r="H65" s="541"/>
      <c r="I65" s="544"/>
      <c r="J65" s="530"/>
      <c r="K65" s="530"/>
      <c r="L65" s="530"/>
    </row>
    <row r="66" spans="1:12" ht="15" customHeight="1">
      <c r="A66" s="518"/>
      <c r="B66" s="576" t="s">
        <v>762</v>
      </c>
      <c r="C66" s="530"/>
      <c r="D66" s="541"/>
      <c r="E66" s="544"/>
      <c r="F66" s="530"/>
      <c r="G66" s="530"/>
      <c r="H66" s="541"/>
      <c r="I66" s="544"/>
      <c r="J66" s="530"/>
      <c r="K66" s="530"/>
      <c r="L66" s="530"/>
    </row>
    <row r="67" spans="1:12" ht="15" customHeight="1">
      <c r="A67" s="518"/>
      <c r="B67" s="536"/>
      <c r="C67" s="593" t="s">
        <v>763</v>
      </c>
      <c r="D67" s="541"/>
      <c r="E67" s="603"/>
      <c r="F67" s="530"/>
      <c r="G67" s="601" t="s">
        <v>747</v>
      </c>
      <c r="H67" s="601" t="s">
        <v>748</v>
      </c>
      <c r="I67" s="544"/>
      <c r="J67" s="530"/>
      <c r="K67" s="530"/>
      <c r="L67" s="530"/>
    </row>
    <row r="68" spans="1:12" ht="15" customHeight="1">
      <c r="A68" s="518"/>
      <c r="B68" s="536"/>
      <c r="C68" s="593" t="s">
        <v>766</v>
      </c>
      <c r="D68" s="541"/>
      <c r="E68" s="603"/>
      <c r="F68" s="530"/>
      <c r="G68" s="601" t="s">
        <v>747</v>
      </c>
      <c r="H68" s="601" t="s">
        <v>748</v>
      </c>
      <c r="I68" s="544"/>
      <c r="J68" s="530"/>
      <c r="K68" s="530"/>
      <c r="L68" s="530"/>
    </row>
    <row r="69" spans="1:12" ht="15" customHeight="1">
      <c r="A69" s="518"/>
      <c r="B69" s="536"/>
      <c r="C69" s="593" t="s">
        <v>764</v>
      </c>
      <c r="D69" s="541"/>
      <c r="E69" s="603"/>
      <c r="F69" s="530"/>
      <c r="G69" s="601" t="s">
        <v>747</v>
      </c>
      <c r="H69" s="601" t="s">
        <v>748</v>
      </c>
      <c r="I69" s="544"/>
      <c r="J69" s="530"/>
      <c r="K69" s="530"/>
      <c r="L69" s="530"/>
    </row>
    <row r="70" spans="1:12" ht="15" customHeight="1">
      <c r="A70" s="518"/>
      <c r="B70" s="536"/>
      <c r="C70" s="593" t="s">
        <v>765</v>
      </c>
      <c r="D70" s="541"/>
      <c r="E70" s="603"/>
      <c r="F70" s="530"/>
      <c r="G70" s="601" t="s">
        <v>747</v>
      </c>
      <c r="H70" s="601" t="s">
        <v>748</v>
      </c>
      <c r="I70" s="544"/>
      <c r="J70" s="530"/>
      <c r="K70" s="530"/>
      <c r="L70" s="530"/>
    </row>
    <row r="71" spans="1:12" ht="15" customHeight="1">
      <c r="A71" s="518"/>
      <c r="B71" s="536"/>
      <c r="C71" s="576"/>
      <c r="D71" s="541"/>
      <c r="E71" s="544"/>
      <c r="F71" s="530"/>
      <c r="G71" s="530"/>
      <c r="H71" s="541"/>
      <c r="I71" s="544"/>
      <c r="J71" s="530"/>
      <c r="K71" s="530"/>
      <c r="L71" s="530"/>
    </row>
    <row r="72" spans="1:12" ht="15" customHeight="1">
      <c r="A72" s="518"/>
      <c r="B72" s="536" t="s">
        <v>907</v>
      </c>
      <c r="C72" s="530"/>
      <c r="D72" s="594" t="s">
        <v>817</v>
      </c>
      <c r="E72" s="604"/>
      <c r="F72" s="530" t="s">
        <v>999</v>
      </c>
      <c r="G72" s="530"/>
      <c r="H72" s="594" t="s">
        <v>818</v>
      </c>
      <c r="I72" s="604"/>
      <c r="J72" s="530" t="s">
        <v>999</v>
      </c>
      <c r="K72" s="530"/>
      <c r="L72" s="576" t="s">
        <v>850</v>
      </c>
    </row>
    <row r="73" spans="1:12" ht="15" customHeight="1">
      <c r="A73" s="518"/>
      <c r="B73" s="536" t="s">
        <v>834</v>
      </c>
      <c r="C73" s="530"/>
      <c r="D73" s="578" t="s">
        <v>823</v>
      </c>
      <c r="E73" s="585">
        <f>-('Esca (EnVer)'!I$72-'Esca (EnVer)'!E$72)*3.664/20</f>
        <v>0</v>
      </c>
      <c r="F73" s="579" t="s">
        <v>746</v>
      </c>
      <c r="G73" s="530"/>
      <c r="H73" s="541"/>
      <c r="I73" s="544"/>
      <c r="J73" s="530"/>
      <c r="K73" s="530"/>
      <c r="L73" s="530" t="s">
        <v>1375</v>
      </c>
    </row>
    <row r="74" spans="1:12" ht="15" customHeight="1">
      <c r="A74" s="518"/>
      <c r="B74" s="536"/>
      <c r="C74" s="576"/>
      <c r="D74" s="541"/>
      <c r="E74" s="544"/>
      <c r="F74" s="530"/>
      <c r="G74" s="530"/>
      <c r="H74" s="541"/>
      <c r="I74" s="544"/>
      <c r="J74" s="530"/>
      <c r="K74" s="530"/>
      <c r="L74" s="530"/>
    </row>
    <row r="75" spans="1:12" ht="15" customHeight="1">
      <c r="A75" s="518"/>
      <c r="B75" s="536"/>
      <c r="C75" s="576"/>
      <c r="D75" s="541"/>
      <c r="E75" s="544"/>
      <c r="F75" s="530"/>
      <c r="G75" s="530"/>
      <c r="H75" s="541"/>
      <c r="I75" s="544"/>
      <c r="J75" s="530"/>
      <c r="K75" s="530"/>
      <c r="L75" s="530"/>
    </row>
    <row r="76" spans="1:12" ht="15" customHeight="1">
      <c r="A76" s="518"/>
      <c r="B76" s="536"/>
      <c r="C76" s="576"/>
      <c r="D76" s="541"/>
      <c r="E76" s="544"/>
      <c r="F76" s="530"/>
      <c r="G76" s="530"/>
      <c r="H76" s="541"/>
      <c r="I76" s="544"/>
      <c r="J76" s="530"/>
      <c r="K76" s="530"/>
      <c r="L76" s="530"/>
    </row>
    <row r="77" spans="1:12" ht="15" customHeight="1">
      <c r="A77" s="518"/>
      <c r="B77" s="658" t="s">
        <v>1336</v>
      </c>
      <c r="C77" s="659"/>
      <c r="D77" s="659"/>
      <c r="E77" s="661" t="str">
        <f>IF(F26=I25,B28,IF(F26=I26,B54,IF(F26=I27,B54,B28)))</f>
        <v>Option 1. Default calculation (no actual and acurate data are available)</v>
      </c>
      <c r="F77" s="659"/>
      <c r="G77" s="659"/>
      <c r="H77" s="659"/>
      <c r="I77" s="662"/>
      <c r="J77" s="662">
        <f>IF(F26=I25,E52,IF(F26=I26,E73,IF(F26=I27,E73,E52)))</f>
        <v>0.44495615999999655</v>
      </c>
      <c r="K77" s="663" t="s">
        <v>830</v>
      </c>
      <c r="L77" s="660"/>
    </row>
    <row r="78" spans="1:12" ht="15" customHeight="1">
      <c r="A78" s="518"/>
      <c r="B78" s="536"/>
      <c r="C78" s="576"/>
      <c r="D78" s="541"/>
      <c r="E78" s="544"/>
      <c r="F78" s="530"/>
      <c r="G78" s="530"/>
      <c r="H78" s="541"/>
      <c r="I78" s="544"/>
      <c r="J78" s="530"/>
      <c r="K78" s="530"/>
      <c r="L78" s="530"/>
    </row>
    <row r="79" spans="1:12">
      <c r="A79" s="518"/>
      <c r="B79" s="530"/>
      <c r="C79" s="530"/>
      <c r="D79" s="530"/>
      <c r="E79" s="530"/>
      <c r="F79" s="530"/>
      <c r="G79" s="530"/>
      <c r="H79" s="530"/>
      <c r="I79" s="530"/>
      <c r="J79" s="530"/>
      <c r="K79" s="530"/>
      <c r="L79" s="530"/>
    </row>
    <row r="80" spans="1:12">
      <c r="A80" s="2"/>
      <c r="B80" s="574"/>
      <c r="C80" s="574"/>
      <c r="D80" s="574"/>
      <c r="E80" s="574"/>
      <c r="F80" s="574"/>
      <c r="G80" s="574"/>
      <c r="H80" s="574"/>
      <c r="I80" s="574"/>
      <c r="J80" s="574"/>
      <c r="K80" s="574"/>
      <c r="L80" s="574"/>
    </row>
    <row r="81" spans="1:12">
      <c r="A81" s="2"/>
      <c r="B81" s="574"/>
      <c r="C81" s="574"/>
      <c r="D81" s="574"/>
      <c r="E81" s="574"/>
      <c r="F81" s="574"/>
      <c r="G81" s="574"/>
      <c r="H81" s="574"/>
      <c r="I81" s="574"/>
      <c r="J81" s="574"/>
      <c r="K81" s="574"/>
      <c r="L81" s="574"/>
    </row>
    <row r="82" spans="1:12">
      <c r="A82" s="2"/>
      <c r="B82" s="574"/>
      <c r="C82" s="574"/>
      <c r="D82" s="574"/>
      <c r="E82" s="574"/>
      <c r="F82" s="574"/>
      <c r="G82" s="574"/>
      <c r="H82" s="574"/>
      <c r="I82" s="574"/>
      <c r="J82" s="574"/>
      <c r="K82" s="574"/>
      <c r="L82" s="574"/>
    </row>
    <row r="83" spans="1:12">
      <c r="A83" s="2"/>
      <c r="B83" s="574"/>
      <c r="C83" s="574"/>
      <c r="D83" s="574"/>
      <c r="E83" s="574"/>
      <c r="F83" s="574"/>
      <c r="G83" s="574"/>
      <c r="H83" s="574"/>
      <c r="I83" s="574"/>
      <c r="J83" s="574"/>
      <c r="K83" s="574"/>
      <c r="L83" s="574"/>
    </row>
    <row r="84" spans="1:12">
      <c r="A84" s="2"/>
      <c r="B84" s="574"/>
      <c r="C84" s="574"/>
      <c r="D84" s="574"/>
      <c r="E84" s="574"/>
      <c r="F84" s="574"/>
      <c r="G84" s="574"/>
      <c r="H84" s="574"/>
      <c r="I84" s="574"/>
      <c r="J84" s="574"/>
      <c r="K84" s="574"/>
      <c r="L84" s="574"/>
    </row>
    <row r="85" spans="1:12">
      <c r="A85" s="2"/>
      <c r="B85" s="574"/>
      <c r="C85" s="574"/>
      <c r="D85" s="574"/>
      <c r="E85" s="574"/>
      <c r="F85" s="574"/>
      <c r="G85" s="574"/>
      <c r="H85" s="574"/>
      <c r="I85" s="574"/>
      <c r="J85" s="574"/>
      <c r="K85" s="574"/>
      <c r="L85" s="574"/>
    </row>
    <row r="86" spans="1:12">
      <c r="A86" s="2"/>
      <c r="B86" s="574"/>
      <c r="C86" s="574"/>
      <c r="D86" s="574"/>
      <c r="E86" s="574"/>
      <c r="F86" s="574"/>
      <c r="G86" s="574"/>
      <c r="H86" s="574"/>
      <c r="I86" s="574"/>
      <c r="J86" s="574"/>
      <c r="K86" s="574"/>
      <c r="L86" s="574"/>
    </row>
    <row r="87" spans="1:12">
      <c r="A87" s="2"/>
      <c r="B87" s="574"/>
      <c r="C87" s="574"/>
      <c r="D87" s="574"/>
      <c r="E87" s="574"/>
      <c r="F87" s="574"/>
      <c r="G87" s="574"/>
      <c r="H87" s="574"/>
      <c r="I87" s="574"/>
      <c r="J87" s="574"/>
      <c r="K87" s="574"/>
      <c r="L87" s="574"/>
    </row>
    <row r="88" spans="1:12">
      <c r="A88" s="2"/>
      <c r="B88" s="574"/>
      <c r="C88" s="574"/>
      <c r="D88" s="574"/>
      <c r="E88" s="574"/>
      <c r="F88" s="574"/>
      <c r="G88" s="574"/>
      <c r="H88" s="574"/>
      <c r="I88" s="574"/>
      <c r="J88" s="574"/>
      <c r="K88" s="574"/>
      <c r="L88" s="574"/>
    </row>
    <row r="89" spans="1:12">
      <c r="A89" s="2"/>
      <c r="B89" s="574"/>
      <c r="C89" s="574"/>
      <c r="D89" s="574"/>
      <c r="E89" s="574"/>
      <c r="F89" s="574"/>
      <c r="G89" s="574"/>
      <c r="H89" s="574"/>
      <c r="I89" s="574"/>
      <c r="J89" s="574"/>
      <c r="K89" s="574"/>
      <c r="L89" s="574"/>
    </row>
    <row r="90" spans="1:12">
      <c r="A90" s="2"/>
      <c r="B90" s="574"/>
      <c r="C90" s="574"/>
      <c r="D90" s="574"/>
      <c r="E90" s="574"/>
      <c r="F90" s="574"/>
      <c r="G90" s="574"/>
      <c r="H90" s="574"/>
      <c r="I90" s="574"/>
      <c r="J90" s="574"/>
      <c r="K90" s="574"/>
      <c r="L90" s="574"/>
    </row>
  </sheetData>
  <customSheetViews>
    <customSheetView guid="{AD88818B-9F97-4B1E-9426-0DECE603685E}" scale="80" showGridLines="0" showRuler="0">
      <selection activeCell="M6" sqref="M6"/>
      <pageMargins left="0.7" right="0.7" top="0.75" bottom="0.75" header="0.3" footer="0.3"/>
      <headerFooter alignWithMargins="0"/>
    </customSheetView>
    <customSheetView guid="{7EB5D807-CE20-46E2-AEE6-2C193E010EA4}" scale="80" showGridLines="0" showRuler="0">
      <selection activeCell="M6" sqref="M6"/>
      <pageMargins left="0.7" right="0.7" top="0.75" bottom="0.75" header="0.3" footer="0.3"/>
      <headerFooter alignWithMargins="0"/>
    </customSheetView>
  </customSheetViews>
  <mergeCells count="17">
    <mergeCell ref="H43:J43"/>
    <mergeCell ref="F26:H26"/>
    <mergeCell ref="D36:F36"/>
    <mergeCell ref="D62:I62"/>
    <mergeCell ref="H38:J38"/>
    <mergeCell ref="D63:I63"/>
    <mergeCell ref="D60:I60"/>
    <mergeCell ref="D61:I61"/>
    <mergeCell ref="D59:I59"/>
    <mergeCell ref="H40:J40"/>
    <mergeCell ref="D41:F41"/>
    <mergeCell ref="H41:J41"/>
    <mergeCell ref="D40:F40"/>
    <mergeCell ref="D58:I58"/>
    <mergeCell ref="D42:F42"/>
    <mergeCell ref="H42:J42"/>
    <mergeCell ref="D43:F43"/>
  </mergeCells>
  <phoneticPr fontId="92" type="noConversion"/>
  <dataValidations count="6">
    <dataValidation type="list" allowBlank="1" showInputMessage="1" showErrorMessage="1" sqref="E67">
      <formula1>$G$67:$H$67</formula1>
    </dataValidation>
    <dataValidation type="list" allowBlank="1" showInputMessage="1" showErrorMessage="1" sqref="D58:I58">
      <formula1>$J$58:$L$58</formula1>
    </dataValidation>
    <dataValidation type="list" allowBlank="1" showInputMessage="1" showErrorMessage="1" sqref="F26:H26">
      <formula1>$I$25:$I$27</formula1>
    </dataValidation>
    <dataValidation type="list" allowBlank="1" showInputMessage="1" showErrorMessage="1" sqref="E68">
      <formula1>$G$68:$H$68</formula1>
    </dataValidation>
    <dataValidation type="list" allowBlank="1" showInputMessage="1" showErrorMessage="1" sqref="E69">
      <formula1>$G$69:$H$69</formula1>
    </dataValidation>
    <dataValidation type="list" allowBlank="1" showInputMessage="1" showErrorMessage="1" sqref="E70">
      <formula1>$G$70:$H$70</formula1>
    </dataValidation>
  </dataValidations>
  <hyperlinks>
    <hyperlink ref="F8:K8" r:id="rId1" display="Commission Decision of 10 June 2010 on guidelines for the calculation of land use carbon stocks for the purpose of Annex V of Directive 2009/28/EC"/>
    <hyperlink ref="G8:L8" r:id="rId2" display="http://eur-lex.europa.eu/LexUriServ/LexUriServ.do?uri=OJ:L:2010:151:0019:0041:EN:PDF"/>
  </hyperlinks>
  <pageMargins left="0.75" right="0.75" top="1" bottom="1" header="0.5" footer="0.5"/>
  <headerFooter alignWithMargins="0"/>
  <drawing r:id="rId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sheetPr codeName="Лист6"/>
  <dimension ref="A1:AI319"/>
  <sheetViews>
    <sheetView zoomScale="85" zoomScaleNormal="85" zoomScalePageLayoutView="94" workbookViewId="0">
      <selection activeCell="C99" sqref="C99"/>
    </sheetView>
  </sheetViews>
  <sheetFormatPr defaultColWidth="11.42578125" defaultRowHeight="12.75"/>
  <cols>
    <col min="1" max="1" width="51.140625" style="1667" customWidth="1"/>
    <col min="2" max="2" width="34.42578125" style="1667" customWidth="1"/>
    <col min="3" max="3" width="17.7109375" style="1667" customWidth="1"/>
    <col min="4" max="4" width="12.28515625" style="1667" customWidth="1"/>
    <col min="5" max="5" width="10.7109375" style="1667" customWidth="1"/>
    <col min="6" max="6" width="17.7109375" style="1667" customWidth="1"/>
    <col min="7" max="7" width="18.42578125" style="1667" customWidth="1"/>
    <col min="8" max="8" width="16" style="1667" customWidth="1"/>
    <col min="9" max="9" width="12.140625" style="1667" customWidth="1"/>
    <col min="10" max="10" width="7.140625" style="1667" customWidth="1"/>
    <col min="11" max="11" width="13.7109375" style="1667" customWidth="1"/>
    <col min="12" max="12" width="16.140625" style="1667" customWidth="1"/>
    <col min="13" max="13" width="17.85546875" style="1667" customWidth="1"/>
    <col min="14" max="14" width="13.7109375" style="1667" customWidth="1"/>
    <col min="15" max="15" width="16.7109375" style="1667" customWidth="1"/>
    <col min="16" max="16" width="13.42578125" style="1667" customWidth="1"/>
    <col min="17" max="17" width="15.85546875" style="1667" customWidth="1"/>
    <col min="18" max="18" width="19.42578125" style="1667" customWidth="1"/>
    <col min="19" max="19" width="18.28515625" style="1667" customWidth="1"/>
    <col min="20" max="20" width="17.140625" style="1667" customWidth="1"/>
    <col min="21" max="21" width="17.42578125" style="1667" customWidth="1"/>
    <col min="22" max="22" width="19.28515625" style="1667" customWidth="1"/>
    <col min="23" max="23" width="19.42578125" style="1667" customWidth="1"/>
    <col min="24" max="24" width="20.42578125" style="1667" customWidth="1"/>
    <col min="25" max="25" width="19.28515625" style="1667" customWidth="1"/>
    <col min="26" max="26" width="30.85546875" style="1667" customWidth="1"/>
    <col min="27" max="27" width="15.28515625" style="1667" customWidth="1"/>
    <col min="28" max="28" width="14.42578125" style="1667" customWidth="1"/>
    <col min="29" max="29" width="12.140625" style="1667" customWidth="1"/>
    <col min="30" max="30" width="12.85546875" style="1666" customWidth="1"/>
    <col min="31" max="31" width="11.42578125" style="1666"/>
    <col min="32" max="32" width="12.7109375" style="1666" customWidth="1"/>
    <col min="33" max="33" width="22" style="1666" customWidth="1"/>
    <col min="34" max="256" width="11.42578125" style="1666"/>
    <col min="257" max="257" width="49.7109375" style="1666" customWidth="1"/>
    <col min="258" max="258" width="16.85546875" style="1666" customWidth="1"/>
    <col min="259" max="259" width="15" style="1666" customWidth="1"/>
    <col min="260" max="260" width="12.28515625" style="1666" customWidth="1"/>
    <col min="261" max="261" width="8.42578125" style="1666" customWidth="1"/>
    <col min="262" max="262" width="14.42578125" style="1666" customWidth="1"/>
    <col min="263" max="263" width="17.42578125" style="1666" customWidth="1"/>
    <col min="264" max="264" width="9" style="1666" customWidth="1"/>
    <col min="265" max="265" width="12.140625" style="1666" customWidth="1"/>
    <col min="266" max="266" width="8.42578125" style="1666" customWidth="1"/>
    <col min="267" max="267" width="12" style="1666" customWidth="1"/>
    <col min="268" max="268" width="11.42578125" style="1666"/>
    <col min="269" max="269" width="11.28515625" style="1666" customWidth="1"/>
    <col min="270" max="270" width="13.7109375" style="1666" customWidth="1"/>
    <col min="271" max="271" width="16.7109375" style="1666" customWidth="1"/>
    <col min="272" max="272" width="13.42578125" style="1666" customWidth="1"/>
    <col min="273" max="273" width="11.42578125" style="1666"/>
    <col min="274" max="274" width="13.7109375" style="1666" customWidth="1"/>
    <col min="275" max="276" width="11.42578125" style="1666"/>
    <col min="277" max="277" width="17.28515625" style="1666" customWidth="1"/>
    <col min="278" max="280" width="11.42578125" style="1666"/>
    <col min="281" max="281" width="12.42578125" style="1666" customWidth="1"/>
    <col min="282" max="282" width="30.85546875" style="1666" customWidth="1"/>
    <col min="283" max="285" width="11.42578125" style="1666"/>
    <col min="286" max="286" width="12.85546875" style="1666" customWidth="1"/>
    <col min="287" max="288" width="11.42578125" style="1666"/>
    <col min="289" max="289" width="19.85546875" style="1666" customWidth="1"/>
    <col min="290" max="512" width="11.42578125" style="1666"/>
    <col min="513" max="513" width="49.7109375" style="1666" customWidth="1"/>
    <col min="514" max="514" width="16.85546875" style="1666" customWidth="1"/>
    <col min="515" max="515" width="15" style="1666" customWidth="1"/>
    <col min="516" max="516" width="12.28515625" style="1666" customWidth="1"/>
    <col min="517" max="517" width="8.42578125" style="1666" customWidth="1"/>
    <col min="518" max="518" width="14.42578125" style="1666" customWidth="1"/>
    <col min="519" max="519" width="17.42578125" style="1666" customWidth="1"/>
    <col min="520" max="520" width="9" style="1666" customWidth="1"/>
    <col min="521" max="521" width="12.140625" style="1666" customWidth="1"/>
    <col min="522" max="522" width="8.42578125" style="1666" customWidth="1"/>
    <col min="523" max="523" width="12" style="1666" customWidth="1"/>
    <col min="524" max="524" width="11.42578125" style="1666"/>
    <col min="525" max="525" width="11.28515625" style="1666" customWidth="1"/>
    <col min="526" max="526" width="13.7109375" style="1666" customWidth="1"/>
    <col min="527" max="527" width="16.7109375" style="1666" customWidth="1"/>
    <col min="528" max="528" width="13.42578125" style="1666" customWidth="1"/>
    <col min="529" max="529" width="11.42578125" style="1666"/>
    <col min="530" max="530" width="13.7109375" style="1666" customWidth="1"/>
    <col min="531" max="532" width="11.42578125" style="1666"/>
    <col min="533" max="533" width="17.28515625" style="1666" customWidth="1"/>
    <col min="534" max="536" width="11.42578125" style="1666"/>
    <col min="537" max="537" width="12.42578125" style="1666" customWidth="1"/>
    <col min="538" max="538" width="30.85546875" style="1666" customWidth="1"/>
    <col min="539" max="541" width="11.42578125" style="1666"/>
    <col min="542" max="542" width="12.85546875" style="1666" customWidth="1"/>
    <col min="543" max="544" width="11.42578125" style="1666"/>
    <col min="545" max="545" width="19.85546875" style="1666" customWidth="1"/>
    <col min="546" max="768" width="11.42578125" style="1666"/>
    <col min="769" max="769" width="49.7109375" style="1666" customWidth="1"/>
    <col min="770" max="770" width="16.85546875" style="1666" customWidth="1"/>
    <col min="771" max="771" width="15" style="1666" customWidth="1"/>
    <col min="772" max="772" width="12.28515625" style="1666" customWidth="1"/>
    <col min="773" max="773" width="8.42578125" style="1666" customWidth="1"/>
    <col min="774" max="774" width="14.42578125" style="1666" customWidth="1"/>
    <col min="775" max="775" width="17.42578125" style="1666" customWidth="1"/>
    <col min="776" max="776" width="9" style="1666" customWidth="1"/>
    <col min="777" max="777" width="12.140625" style="1666" customWidth="1"/>
    <col min="778" max="778" width="8.42578125" style="1666" customWidth="1"/>
    <col min="779" max="779" width="12" style="1666" customWidth="1"/>
    <col min="780" max="780" width="11.42578125" style="1666"/>
    <col min="781" max="781" width="11.28515625" style="1666" customWidth="1"/>
    <col min="782" max="782" width="13.7109375" style="1666" customWidth="1"/>
    <col min="783" max="783" width="16.7109375" style="1666" customWidth="1"/>
    <col min="784" max="784" width="13.42578125" style="1666" customWidth="1"/>
    <col min="785" max="785" width="11.42578125" style="1666"/>
    <col min="786" max="786" width="13.7109375" style="1666" customWidth="1"/>
    <col min="787" max="788" width="11.42578125" style="1666"/>
    <col min="789" max="789" width="17.28515625" style="1666" customWidth="1"/>
    <col min="790" max="792" width="11.42578125" style="1666"/>
    <col min="793" max="793" width="12.42578125" style="1666" customWidth="1"/>
    <col min="794" max="794" width="30.85546875" style="1666" customWidth="1"/>
    <col min="795" max="797" width="11.42578125" style="1666"/>
    <col min="798" max="798" width="12.85546875" style="1666" customWidth="1"/>
    <col min="799" max="800" width="11.42578125" style="1666"/>
    <col min="801" max="801" width="19.85546875" style="1666" customWidth="1"/>
    <col min="802" max="1024" width="11.42578125" style="1666"/>
    <col min="1025" max="1025" width="49.7109375" style="1666" customWidth="1"/>
    <col min="1026" max="1026" width="16.85546875" style="1666" customWidth="1"/>
    <col min="1027" max="1027" width="15" style="1666" customWidth="1"/>
    <col min="1028" max="1028" width="12.28515625" style="1666" customWidth="1"/>
    <col min="1029" max="1029" width="8.42578125" style="1666" customWidth="1"/>
    <col min="1030" max="1030" width="14.42578125" style="1666" customWidth="1"/>
    <col min="1031" max="1031" width="17.42578125" style="1666" customWidth="1"/>
    <col min="1032" max="1032" width="9" style="1666" customWidth="1"/>
    <col min="1033" max="1033" width="12.140625" style="1666" customWidth="1"/>
    <col min="1034" max="1034" width="8.42578125" style="1666" customWidth="1"/>
    <col min="1035" max="1035" width="12" style="1666" customWidth="1"/>
    <col min="1036" max="1036" width="11.42578125" style="1666"/>
    <col min="1037" max="1037" width="11.28515625" style="1666" customWidth="1"/>
    <col min="1038" max="1038" width="13.7109375" style="1666" customWidth="1"/>
    <col min="1039" max="1039" width="16.7109375" style="1666" customWidth="1"/>
    <col min="1040" max="1040" width="13.42578125" style="1666" customWidth="1"/>
    <col min="1041" max="1041" width="11.42578125" style="1666"/>
    <col min="1042" max="1042" width="13.7109375" style="1666" customWidth="1"/>
    <col min="1043" max="1044" width="11.42578125" style="1666"/>
    <col min="1045" max="1045" width="17.28515625" style="1666" customWidth="1"/>
    <col min="1046" max="1048" width="11.42578125" style="1666"/>
    <col min="1049" max="1049" width="12.42578125" style="1666" customWidth="1"/>
    <col min="1050" max="1050" width="30.85546875" style="1666" customWidth="1"/>
    <col min="1051" max="1053" width="11.42578125" style="1666"/>
    <col min="1054" max="1054" width="12.85546875" style="1666" customWidth="1"/>
    <col min="1055" max="1056" width="11.42578125" style="1666"/>
    <col min="1057" max="1057" width="19.85546875" style="1666" customWidth="1"/>
    <col min="1058" max="1280" width="11.42578125" style="1666"/>
    <col min="1281" max="1281" width="49.7109375" style="1666" customWidth="1"/>
    <col min="1282" max="1282" width="16.85546875" style="1666" customWidth="1"/>
    <col min="1283" max="1283" width="15" style="1666" customWidth="1"/>
    <col min="1284" max="1284" width="12.28515625" style="1666" customWidth="1"/>
    <col min="1285" max="1285" width="8.42578125" style="1666" customWidth="1"/>
    <col min="1286" max="1286" width="14.42578125" style="1666" customWidth="1"/>
    <col min="1287" max="1287" width="17.42578125" style="1666" customWidth="1"/>
    <col min="1288" max="1288" width="9" style="1666" customWidth="1"/>
    <col min="1289" max="1289" width="12.140625" style="1666" customWidth="1"/>
    <col min="1290" max="1290" width="8.42578125" style="1666" customWidth="1"/>
    <col min="1291" max="1291" width="12" style="1666" customWidth="1"/>
    <col min="1292" max="1292" width="11.42578125" style="1666"/>
    <col min="1293" max="1293" width="11.28515625" style="1666" customWidth="1"/>
    <col min="1294" max="1294" width="13.7109375" style="1666" customWidth="1"/>
    <col min="1295" max="1295" width="16.7109375" style="1666" customWidth="1"/>
    <col min="1296" max="1296" width="13.42578125" style="1666" customWidth="1"/>
    <col min="1297" max="1297" width="11.42578125" style="1666"/>
    <col min="1298" max="1298" width="13.7109375" style="1666" customWidth="1"/>
    <col min="1299" max="1300" width="11.42578125" style="1666"/>
    <col min="1301" max="1301" width="17.28515625" style="1666" customWidth="1"/>
    <col min="1302" max="1304" width="11.42578125" style="1666"/>
    <col min="1305" max="1305" width="12.42578125" style="1666" customWidth="1"/>
    <col min="1306" max="1306" width="30.85546875" style="1666" customWidth="1"/>
    <col min="1307" max="1309" width="11.42578125" style="1666"/>
    <col min="1310" max="1310" width="12.85546875" style="1666" customWidth="1"/>
    <col min="1311" max="1312" width="11.42578125" style="1666"/>
    <col min="1313" max="1313" width="19.85546875" style="1666" customWidth="1"/>
    <col min="1314" max="1536" width="11.42578125" style="1666"/>
    <col min="1537" max="1537" width="49.7109375" style="1666" customWidth="1"/>
    <col min="1538" max="1538" width="16.85546875" style="1666" customWidth="1"/>
    <col min="1539" max="1539" width="15" style="1666" customWidth="1"/>
    <col min="1540" max="1540" width="12.28515625" style="1666" customWidth="1"/>
    <col min="1541" max="1541" width="8.42578125" style="1666" customWidth="1"/>
    <col min="1542" max="1542" width="14.42578125" style="1666" customWidth="1"/>
    <col min="1543" max="1543" width="17.42578125" style="1666" customWidth="1"/>
    <col min="1544" max="1544" width="9" style="1666" customWidth="1"/>
    <col min="1545" max="1545" width="12.140625" style="1666" customWidth="1"/>
    <col min="1546" max="1546" width="8.42578125" style="1666" customWidth="1"/>
    <col min="1547" max="1547" width="12" style="1666" customWidth="1"/>
    <col min="1548" max="1548" width="11.42578125" style="1666"/>
    <col min="1549" max="1549" width="11.28515625" style="1666" customWidth="1"/>
    <col min="1550" max="1550" width="13.7109375" style="1666" customWidth="1"/>
    <col min="1551" max="1551" width="16.7109375" style="1666" customWidth="1"/>
    <col min="1552" max="1552" width="13.42578125" style="1666" customWidth="1"/>
    <col min="1553" max="1553" width="11.42578125" style="1666"/>
    <col min="1554" max="1554" width="13.7109375" style="1666" customWidth="1"/>
    <col min="1555" max="1556" width="11.42578125" style="1666"/>
    <col min="1557" max="1557" width="17.28515625" style="1666" customWidth="1"/>
    <col min="1558" max="1560" width="11.42578125" style="1666"/>
    <col min="1561" max="1561" width="12.42578125" style="1666" customWidth="1"/>
    <col min="1562" max="1562" width="30.85546875" style="1666" customWidth="1"/>
    <col min="1563" max="1565" width="11.42578125" style="1666"/>
    <col min="1566" max="1566" width="12.85546875" style="1666" customWidth="1"/>
    <col min="1567" max="1568" width="11.42578125" style="1666"/>
    <col min="1569" max="1569" width="19.85546875" style="1666" customWidth="1"/>
    <col min="1570" max="1792" width="11.42578125" style="1666"/>
    <col min="1793" max="1793" width="49.7109375" style="1666" customWidth="1"/>
    <col min="1794" max="1794" width="16.85546875" style="1666" customWidth="1"/>
    <col min="1795" max="1795" width="15" style="1666" customWidth="1"/>
    <col min="1796" max="1796" width="12.28515625" style="1666" customWidth="1"/>
    <col min="1797" max="1797" width="8.42578125" style="1666" customWidth="1"/>
    <col min="1798" max="1798" width="14.42578125" style="1666" customWidth="1"/>
    <col min="1799" max="1799" width="17.42578125" style="1666" customWidth="1"/>
    <col min="1800" max="1800" width="9" style="1666" customWidth="1"/>
    <col min="1801" max="1801" width="12.140625" style="1666" customWidth="1"/>
    <col min="1802" max="1802" width="8.42578125" style="1666" customWidth="1"/>
    <col min="1803" max="1803" width="12" style="1666" customWidth="1"/>
    <col min="1804" max="1804" width="11.42578125" style="1666"/>
    <col min="1805" max="1805" width="11.28515625" style="1666" customWidth="1"/>
    <col min="1806" max="1806" width="13.7109375" style="1666" customWidth="1"/>
    <col min="1807" max="1807" width="16.7109375" style="1666" customWidth="1"/>
    <col min="1808" max="1808" width="13.42578125" style="1666" customWidth="1"/>
    <col min="1809" max="1809" width="11.42578125" style="1666"/>
    <col min="1810" max="1810" width="13.7109375" style="1666" customWidth="1"/>
    <col min="1811" max="1812" width="11.42578125" style="1666"/>
    <col min="1813" max="1813" width="17.28515625" style="1666" customWidth="1"/>
    <col min="1814" max="1816" width="11.42578125" style="1666"/>
    <col min="1817" max="1817" width="12.42578125" style="1666" customWidth="1"/>
    <col min="1818" max="1818" width="30.85546875" style="1666" customWidth="1"/>
    <col min="1819" max="1821" width="11.42578125" style="1666"/>
    <col min="1822" max="1822" width="12.85546875" style="1666" customWidth="1"/>
    <col min="1823" max="1824" width="11.42578125" style="1666"/>
    <col min="1825" max="1825" width="19.85546875" style="1666" customWidth="1"/>
    <col min="1826" max="2048" width="11.42578125" style="1666"/>
    <col min="2049" max="2049" width="49.7109375" style="1666" customWidth="1"/>
    <col min="2050" max="2050" width="16.85546875" style="1666" customWidth="1"/>
    <col min="2051" max="2051" width="15" style="1666" customWidth="1"/>
    <col min="2052" max="2052" width="12.28515625" style="1666" customWidth="1"/>
    <col min="2053" max="2053" width="8.42578125" style="1666" customWidth="1"/>
    <col min="2054" max="2054" width="14.42578125" style="1666" customWidth="1"/>
    <col min="2055" max="2055" width="17.42578125" style="1666" customWidth="1"/>
    <col min="2056" max="2056" width="9" style="1666" customWidth="1"/>
    <col min="2057" max="2057" width="12.140625" style="1666" customWidth="1"/>
    <col min="2058" max="2058" width="8.42578125" style="1666" customWidth="1"/>
    <col min="2059" max="2059" width="12" style="1666" customWidth="1"/>
    <col min="2060" max="2060" width="11.42578125" style="1666"/>
    <col min="2061" max="2061" width="11.28515625" style="1666" customWidth="1"/>
    <col min="2062" max="2062" width="13.7109375" style="1666" customWidth="1"/>
    <col min="2063" max="2063" width="16.7109375" style="1666" customWidth="1"/>
    <col min="2064" max="2064" width="13.42578125" style="1666" customWidth="1"/>
    <col min="2065" max="2065" width="11.42578125" style="1666"/>
    <col min="2066" max="2066" width="13.7109375" style="1666" customWidth="1"/>
    <col min="2067" max="2068" width="11.42578125" style="1666"/>
    <col min="2069" max="2069" width="17.28515625" style="1666" customWidth="1"/>
    <col min="2070" max="2072" width="11.42578125" style="1666"/>
    <col min="2073" max="2073" width="12.42578125" style="1666" customWidth="1"/>
    <col min="2074" max="2074" width="30.85546875" style="1666" customWidth="1"/>
    <col min="2075" max="2077" width="11.42578125" style="1666"/>
    <col min="2078" max="2078" width="12.85546875" style="1666" customWidth="1"/>
    <col min="2079" max="2080" width="11.42578125" style="1666"/>
    <col min="2081" max="2081" width="19.85546875" style="1666" customWidth="1"/>
    <col min="2082" max="2304" width="11.42578125" style="1666"/>
    <col min="2305" max="2305" width="49.7109375" style="1666" customWidth="1"/>
    <col min="2306" max="2306" width="16.85546875" style="1666" customWidth="1"/>
    <col min="2307" max="2307" width="15" style="1666" customWidth="1"/>
    <col min="2308" max="2308" width="12.28515625" style="1666" customWidth="1"/>
    <col min="2309" max="2309" width="8.42578125" style="1666" customWidth="1"/>
    <col min="2310" max="2310" width="14.42578125" style="1666" customWidth="1"/>
    <col min="2311" max="2311" width="17.42578125" style="1666" customWidth="1"/>
    <col min="2312" max="2312" width="9" style="1666" customWidth="1"/>
    <col min="2313" max="2313" width="12.140625" style="1666" customWidth="1"/>
    <col min="2314" max="2314" width="8.42578125" style="1666" customWidth="1"/>
    <col min="2315" max="2315" width="12" style="1666" customWidth="1"/>
    <col min="2316" max="2316" width="11.42578125" style="1666"/>
    <col min="2317" max="2317" width="11.28515625" style="1666" customWidth="1"/>
    <col min="2318" max="2318" width="13.7109375" style="1666" customWidth="1"/>
    <col min="2319" max="2319" width="16.7109375" style="1666" customWidth="1"/>
    <col min="2320" max="2320" width="13.42578125" style="1666" customWidth="1"/>
    <col min="2321" max="2321" width="11.42578125" style="1666"/>
    <col min="2322" max="2322" width="13.7109375" style="1666" customWidth="1"/>
    <col min="2323" max="2324" width="11.42578125" style="1666"/>
    <col min="2325" max="2325" width="17.28515625" style="1666" customWidth="1"/>
    <col min="2326" max="2328" width="11.42578125" style="1666"/>
    <col min="2329" max="2329" width="12.42578125" style="1666" customWidth="1"/>
    <col min="2330" max="2330" width="30.85546875" style="1666" customWidth="1"/>
    <col min="2331" max="2333" width="11.42578125" style="1666"/>
    <col min="2334" max="2334" width="12.85546875" style="1666" customWidth="1"/>
    <col min="2335" max="2336" width="11.42578125" style="1666"/>
    <col min="2337" max="2337" width="19.85546875" style="1666" customWidth="1"/>
    <col min="2338" max="2560" width="11.42578125" style="1666"/>
    <col min="2561" max="2561" width="49.7109375" style="1666" customWidth="1"/>
    <col min="2562" max="2562" width="16.85546875" style="1666" customWidth="1"/>
    <col min="2563" max="2563" width="15" style="1666" customWidth="1"/>
    <col min="2564" max="2564" width="12.28515625" style="1666" customWidth="1"/>
    <col min="2565" max="2565" width="8.42578125" style="1666" customWidth="1"/>
    <col min="2566" max="2566" width="14.42578125" style="1666" customWidth="1"/>
    <col min="2567" max="2567" width="17.42578125" style="1666" customWidth="1"/>
    <col min="2568" max="2568" width="9" style="1666" customWidth="1"/>
    <col min="2569" max="2569" width="12.140625" style="1666" customWidth="1"/>
    <col min="2570" max="2570" width="8.42578125" style="1666" customWidth="1"/>
    <col min="2571" max="2571" width="12" style="1666" customWidth="1"/>
    <col min="2572" max="2572" width="11.42578125" style="1666"/>
    <col min="2573" max="2573" width="11.28515625" style="1666" customWidth="1"/>
    <col min="2574" max="2574" width="13.7109375" style="1666" customWidth="1"/>
    <col min="2575" max="2575" width="16.7109375" style="1666" customWidth="1"/>
    <col min="2576" max="2576" width="13.42578125" style="1666" customWidth="1"/>
    <col min="2577" max="2577" width="11.42578125" style="1666"/>
    <col min="2578" max="2578" width="13.7109375" style="1666" customWidth="1"/>
    <col min="2579" max="2580" width="11.42578125" style="1666"/>
    <col min="2581" max="2581" width="17.28515625" style="1666" customWidth="1"/>
    <col min="2582" max="2584" width="11.42578125" style="1666"/>
    <col min="2585" max="2585" width="12.42578125" style="1666" customWidth="1"/>
    <col min="2586" max="2586" width="30.85546875" style="1666" customWidth="1"/>
    <col min="2587" max="2589" width="11.42578125" style="1666"/>
    <col min="2590" max="2590" width="12.85546875" style="1666" customWidth="1"/>
    <col min="2591" max="2592" width="11.42578125" style="1666"/>
    <col min="2593" max="2593" width="19.85546875" style="1666" customWidth="1"/>
    <col min="2594" max="2816" width="11.42578125" style="1666"/>
    <col min="2817" max="2817" width="49.7109375" style="1666" customWidth="1"/>
    <col min="2818" max="2818" width="16.85546875" style="1666" customWidth="1"/>
    <col min="2819" max="2819" width="15" style="1666" customWidth="1"/>
    <col min="2820" max="2820" width="12.28515625" style="1666" customWidth="1"/>
    <col min="2821" max="2821" width="8.42578125" style="1666" customWidth="1"/>
    <col min="2822" max="2822" width="14.42578125" style="1666" customWidth="1"/>
    <col min="2823" max="2823" width="17.42578125" style="1666" customWidth="1"/>
    <col min="2824" max="2824" width="9" style="1666" customWidth="1"/>
    <col min="2825" max="2825" width="12.140625" style="1666" customWidth="1"/>
    <col min="2826" max="2826" width="8.42578125" style="1666" customWidth="1"/>
    <col min="2827" max="2827" width="12" style="1666" customWidth="1"/>
    <col min="2828" max="2828" width="11.42578125" style="1666"/>
    <col min="2829" max="2829" width="11.28515625" style="1666" customWidth="1"/>
    <col min="2830" max="2830" width="13.7109375" style="1666" customWidth="1"/>
    <col min="2831" max="2831" width="16.7109375" style="1666" customWidth="1"/>
    <col min="2832" max="2832" width="13.42578125" style="1666" customWidth="1"/>
    <col min="2833" max="2833" width="11.42578125" style="1666"/>
    <col min="2834" max="2834" width="13.7109375" style="1666" customWidth="1"/>
    <col min="2835" max="2836" width="11.42578125" style="1666"/>
    <col min="2837" max="2837" width="17.28515625" style="1666" customWidth="1"/>
    <col min="2838" max="2840" width="11.42578125" style="1666"/>
    <col min="2841" max="2841" width="12.42578125" style="1666" customWidth="1"/>
    <col min="2842" max="2842" width="30.85546875" style="1666" customWidth="1"/>
    <col min="2843" max="2845" width="11.42578125" style="1666"/>
    <col min="2846" max="2846" width="12.85546875" style="1666" customWidth="1"/>
    <col min="2847" max="2848" width="11.42578125" style="1666"/>
    <col min="2849" max="2849" width="19.85546875" style="1666" customWidth="1"/>
    <col min="2850" max="3072" width="11.42578125" style="1666"/>
    <col min="3073" max="3073" width="49.7109375" style="1666" customWidth="1"/>
    <col min="3074" max="3074" width="16.85546875" style="1666" customWidth="1"/>
    <col min="3075" max="3075" width="15" style="1666" customWidth="1"/>
    <col min="3076" max="3076" width="12.28515625" style="1666" customWidth="1"/>
    <col min="3077" max="3077" width="8.42578125" style="1666" customWidth="1"/>
    <col min="3078" max="3078" width="14.42578125" style="1666" customWidth="1"/>
    <col min="3079" max="3079" width="17.42578125" style="1666" customWidth="1"/>
    <col min="3080" max="3080" width="9" style="1666" customWidth="1"/>
    <col min="3081" max="3081" width="12.140625" style="1666" customWidth="1"/>
    <col min="3082" max="3082" width="8.42578125" style="1666" customWidth="1"/>
    <col min="3083" max="3083" width="12" style="1666" customWidth="1"/>
    <col min="3084" max="3084" width="11.42578125" style="1666"/>
    <col min="3085" max="3085" width="11.28515625" style="1666" customWidth="1"/>
    <col min="3086" max="3086" width="13.7109375" style="1666" customWidth="1"/>
    <col min="3087" max="3087" width="16.7109375" style="1666" customWidth="1"/>
    <col min="3088" max="3088" width="13.42578125" style="1666" customWidth="1"/>
    <col min="3089" max="3089" width="11.42578125" style="1666"/>
    <col min="3090" max="3090" width="13.7109375" style="1666" customWidth="1"/>
    <col min="3091" max="3092" width="11.42578125" style="1666"/>
    <col min="3093" max="3093" width="17.28515625" style="1666" customWidth="1"/>
    <col min="3094" max="3096" width="11.42578125" style="1666"/>
    <col min="3097" max="3097" width="12.42578125" style="1666" customWidth="1"/>
    <col min="3098" max="3098" width="30.85546875" style="1666" customWidth="1"/>
    <col min="3099" max="3101" width="11.42578125" style="1666"/>
    <col min="3102" max="3102" width="12.85546875" style="1666" customWidth="1"/>
    <col min="3103" max="3104" width="11.42578125" style="1666"/>
    <col min="3105" max="3105" width="19.85546875" style="1666" customWidth="1"/>
    <col min="3106" max="3328" width="11.42578125" style="1666"/>
    <col min="3329" max="3329" width="49.7109375" style="1666" customWidth="1"/>
    <col min="3330" max="3330" width="16.85546875" style="1666" customWidth="1"/>
    <col min="3331" max="3331" width="15" style="1666" customWidth="1"/>
    <col min="3332" max="3332" width="12.28515625" style="1666" customWidth="1"/>
    <col min="3333" max="3333" width="8.42578125" style="1666" customWidth="1"/>
    <col min="3334" max="3334" width="14.42578125" style="1666" customWidth="1"/>
    <col min="3335" max="3335" width="17.42578125" style="1666" customWidth="1"/>
    <col min="3336" max="3336" width="9" style="1666" customWidth="1"/>
    <col min="3337" max="3337" width="12.140625" style="1666" customWidth="1"/>
    <col min="3338" max="3338" width="8.42578125" style="1666" customWidth="1"/>
    <col min="3339" max="3339" width="12" style="1666" customWidth="1"/>
    <col min="3340" max="3340" width="11.42578125" style="1666"/>
    <col min="3341" max="3341" width="11.28515625" style="1666" customWidth="1"/>
    <col min="3342" max="3342" width="13.7109375" style="1666" customWidth="1"/>
    <col min="3343" max="3343" width="16.7109375" style="1666" customWidth="1"/>
    <col min="3344" max="3344" width="13.42578125" style="1666" customWidth="1"/>
    <col min="3345" max="3345" width="11.42578125" style="1666"/>
    <col min="3346" max="3346" width="13.7109375" style="1666" customWidth="1"/>
    <col min="3347" max="3348" width="11.42578125" style="1666"/>
    <col min="3349" max="3349" width="17.28515625" style="1666" customWidth="1"/>
    <col min="3350" max="3352" width="11.42578125" style="1666"/>
    <col min="3353" max="3353" width="12.42578125" style="1666" customWidth="1"/>
    <col min="3354" max="3354" width="30.85546875" style="1666" customWidth="1"/>
    <col min="3355" max="3357" width="11.42578125" style="1666"/>
    <col min="3358" max="3358" width="12.85546875" style="1666" customWidth="1"/>
    <col min="3359" max="3360" width="11.42578125" style="1666"/>
    <col min="3361" max="3361" width="19.85546875" style="1666" customWidth="1"/>
    <col min="3362" max="3584" width="11.42578125" style="1666"/>
    <col min="3585" max="3585" width="49.7109375" style="1666" customWidth="1"/>
    <col min="3586" max="3586" width="16.85546875" style="1666" customWidth="1"/>
    <col min="3587" max="3587" width="15" style="1666" customWidth="1"/>
    <col min="3588" max="3588" width="12.28515625" style="1666" customWidth="1"/>
    <col min="3589" max="3589" width="8.42578125" style="1666" customWidth="1"/>
    <col min="3590" max="3590" width="14.42578125" style="1666" customWidth="1"/>
    <col min="3591" max="3591" width="17.42578125" style="1666" customWidth="1"/>
    <col min="3592" max="3592" width="9" style="1666" customWidth="1"/>
    <col min="3593" max="3593" width="12.140625" style="1666" customWidth="1"/>
    <col min="3594" max="3594" width="8.42578125" style="1666" customWidth="1"/>
    <col min="3595" max="3595" width="12" style="1666" customWidth="1"/>
    <col min="3596" max="3596" width="11.42578125" style="1666"/>
    <col min="3597" max="3597" width="11.28515625" style="1666" customWidth="1"/>
    <col min="3598" max="3598" width="13.7109375" style="1666" customWidth="1"/>
    <col min="3599" max="3599" width="16.7109375" style="1666" customWidth="1"/>
    <col min="3600" max="3600" width="13.42578125" style="1666" customWidth="1"/>
    <col min="3601" max="3601" width="11.42578125" style="1666"/>
    <col min="3602" max="3602" width="13.7109375" style="1666" customWidth="1"/>
    <col min="3603" max="3604" width="11.42578125" style="1666"/>
    <col min="3605" max="3605" width="17.28515625" style="1666" customWidth="1"/>
    <col min="3606" max="3608" width="11.42578125" style="1666"/>
    <col min="3609" max="3609" width="12.42578125" style="1666" customWidth="1"/>
    <col min="3610" max="3610" width="30.85546875" style="1666" customWidth="1"/>
    <col min="3611" max="3613" width="11.42578125" style="1666"/>
    <col min="3614" max="3614" width="12.85546875" style="1666" customWidth="1"/>
    <col min="3615" max="3616" width="11.42578125" style="1666"/>
    <col min="3617" max="3617" width="19.85546875" style="1666" customWidth="1"/>
    <col min="3618" max="3840" width="11.42578125" style="1666"/>
    <col min="3841" max="3841" width="49.7109375" style="1666" customWidth="1"/>
    <col min="3842" max="3842" width="16.85546875" style="1666" customWidth="1"/>
    <col min="3843" max="3843" width="15" style="1666" customWidth="1"/>
    <col min="3844" max="3844" width="12.28515625" style="1666" customWidth="1"/>
    <col min="3845" max="3845" width="8.42578125" style="1666" customWidth="1"/>
    <col min="3846" max="3846" width="14.42578125" style="1666" customWidth="1"/>
    <col min="3847" max="3847" width="17.42578125" style="1666" customWidth="1"/>
    <col min="3848" max="3848" width="9" style="1666" customWidth="1"/>
    <col min="3849" max="3849" width="12.140625" style="1666" customWidth="1"/>
    <col min="3850" max="3850" width="8.42578125" style="1666" customWidth="1"/>
    <col min="3851" max="3851" width="12" style="1666" customWidth="1"/>
    <col min="3852" max="3852" width="11.42578125" style="1666"/>
    <col min="3853" max="3853" width="11.28515625" style="1666" customWidth="1"/>
    <col min="3854" max="3854" width="13.7109375" style="1666" customWidth="1"/>
    <col min="3855" max="3855" width="16.7109375" style="1666" customWidth="1"/>
    <col min="3856" max="3856" width="13.42578125" style="1666" customWidth="1"/>
    <col min="3857" max="3857" width="11.42578125" style="1666"/>
    <col min="3858" max="3858" width="13.7109375" style="1666" customWidth="1"/>
    <col min="3859" max="3860" width="11.42578125" style="1666"/>
    <col min="3861" max="3861" width="17.28515625" style="1666" customWidth="1"/>
    <col min="3862" max="3864" width="11.42578125" style="1666"/>
    <col min="3865" max="3865" width="12.42578125" style="1666" customWidth="1"/>
    <col min="3866" max="3866" width="30.85546875" style="1666" customWidth="1"/>
    <col min="3867" max="3869" width="11.42578125" style="1666"/>
    <col min="3870" max="3870" width="12.85546875" style="1666" customWidth="1"/>
    <col min="3871" max="3872" width="11.42578125" style="1666"/>
    <col min="3873" max="3873" width="19.85546875" style="1666" customWidth="1"/>
    <col min="3874" max="4096" width="11.42578125" style="1666"/>
    <col min="4097" max="4097" width="49.7109375" style="1666" customWidth="1"/>
    <col min="4098" max="4098" width="16.85546875" style="1666" customWidth="1"/>
    <col min="4099" max="4099" width="15" style="1666" customWidth="1"/>
    <col min="4100" max="4100" width="12.28515625" style="1666" customWidth="1"/>
    <col min="4101" max="4101" width="8.42578125" style="1666" customWidth="1"/>
    <col min="4102" max="4102" width="14.42578125" style="1666" customWidth="1"/>
    <col min="4103" max="4103" width="17.42578125" style="1666" customWidth="1"/>
    <col min="4104" max="4104" width="9" style="1666" customWidth="1"/>
    <col min="4105" max="4105" width="12.140625" style="1666" customWidth="1"/>
    <col min="4106" max="4106" width="8.42578125" style="1666" customWidth="1"/>
    <col min="4107" max="4107" width="12" style="1666" customWidth="1"/>
    <col min="4108" max="4108" width="11.42578125" style="1666"/>
    <col min="4109" max="4109" width="11.28515625" style="1666" customWidth="1"/>
    <col min="4110" max="4110" width="13.7109375" style="1666" customWidth="1"/>
    <col min="4111" max="4111" width="16.7109375" style="1666" customWidth="1"/>
    <col min="4112" max="4112" width="13.42578125" style="1666" customWidth="1"/>
    <col min="4113" max="4113" width="11.42578125" style="1666"/>
    <col min="4114" max="4114" width="13.7109375" style="1666" customWidth="1"/>
    <col min="4115" max="4116" width="11.42578125" style="1666"/>
    <col min="4117" max="4117" width="17.28515625" style="1666" customWidth="1"/>
    <col min="4118" max="4120" width="11.42578125" style="1666"/>
    <col min="4121" max="4121" width="12.42578125" style="1666" customWidth="1"/>
    <col min="4122" max="4122" width="30.85546875" style="1666" customWidth="1"/>
    <col min="4123" max="4125" width="11.42578125" style="1666"/>
    <col min="4126" max="4126" width="12.85546875" style="1666" customWidth="1"/>
    <col min="4127" max="4128" width="11.42578125" style="1666"/>
    <col min="4129" max="4129" width="19.85546875" style="1666" customWidth="1"/>
    <col min="4130" max="4352" width="11.42578125" style="1666"/>
    <col min="4353" max="4353" width="49.7109375" style="1666" customWidth="1"/>
    <col min="4354" max="4354" width="16.85546875" style="1666" customWidth="1"/>
    <col min="4355" max="4355" width="15" style="1666" customWidth="1"/>
    <col min="4356" max="4356" width="12.28515625" style="1666" customWidth="1"/>
    <col min="4357" max="4357" width="8.42578125" style="1666" customWidth="1"/>
    <col min="4358" max="4358" width="14.42578125" style="1666" customWidth="1"/>
    <col min="4359" max="4359" width="17.42578125" style="1666" customWidth="1"/>
    <col min="4360" max="4360" width="9" style="1666" customWidth="1"/>
    <col min="4361" max="4361" width="12.140625" style="1666" customWidth="1"/>
    <col min="4362" max="4362" width="8.42578125" style="1666" customWidth="1"/>
    <col min="4363" max="4363" width="12" style="1666" customWidth="1"/>
    <col min="4364" max="4364" width="11.42578125" style="1666"/>
    <col min="4365" max="4365" width="11.28515625" style="1666" customWidth="1"/>
    <col min="4366" max="4366" width="13.7109375" style="1666" customWidth="1"/>
    <col min="4367" max="4367" width="16.7109375" style="1666" customWidth="1"/>
    <col min="4368" max="4368" width="13.42578125" style="1666" customWidth="1"/>
    <col min="4369" max="4369" width="11.42578125" style="1666"/>
    <col min="4370" max="4370" width="13.7109375" style="1666" customWidth="1"/>
    <col min="4371" max="4372" width="11.42578125" style="1666"/>
    <col min="4373" max="4373" width="17.28515625" style="1666" customWidth="1"/>
    <col min="4374" max="4376" width="11.42578125" style="1666"/>
    <col min="4377" max="4377" width="12.42578125" style="1666" customWidth="1"/>
    <col min="4378" max="4378" width="30.85546875" style="1666" customWidth="1"/>
    <col min="4379" max="4381" width="11.42578125" style="1666"/>
    <col min="4382" max="4382" width="12.85546875" style="1666" customWidth="1"/>
    <col min="4383" max="4384" width="11.42578125" style="1666"/>
    <col min="4385" max="4385" width="19.85546875" style="1666" customWidth="1"/>
    <col min="4386" max="4608" width="11.42578125" style="1666"/>
    <col min="4609" max="4609" width="49.7109375" style="1666" customWidth="1"/>
    <col min="4610" max="4610" width="16.85546875" style="1666" customWidth="1"/>
    <col min="4611" max="4611" width="15" style="1666" customWidth="1"/>
    <col min="4612" max="4612" width="12.28515625" style="1666" customWidth="1"/>
    <col min="4613" max="4613" width="8.42578125" style="1666" customWidth="1"/>
    <col min="4614" max="4614" width="14.42578125" style="1666" customWidth="1"/>
    <col min="4615" max="4615" width="17.42578125" style="1666" customWidth="1"/>
    <col min="4616" max="4616" width="9" style="1666" customWidth="1"/>
    <col min="4617" max="4617" width="12.140625" style="1666" customWidth="1"/>
    <col min="4618" max="4618" width="8.42578125" style="1666" customWidth="1"/>
    <col min="4619" max="4619" width="12" style="1666" customWidth="1"/>
    <col min="4620" max="4620" width="11.42578125" style="1666"/>
    <col min="4621" max="4621" width="11.28515625" style="1666" customWidth="1"/>
    <col min="4622" max="4622" width="13.7109375" style="1666" customWidth="1"/>
    <col min="4623" max="4623" width="16.7109375" style="1666" customWidth="1"/>
    <col min="4624" max="4624" width="13.42578125" style="1666" customWidth="1"/>
    <col min="4625" max="4625" width="11.42578125" style="1666"/>
    <col min="4626" max="4626" width="13.7109375" style="1666" customWidth="1"/>
    <col min="4627" max="4628" width="11.42578125" style="1666"/>
    <col min="4629" max="4629" width="17.28515625" style="1666" customWidth="1"/>
    <col min="4630" max="4632" width="11.42578125" style="1666"/>
    <col min="4633" max="4633" width="12.42578125" style="1666" customWidth="1"/>
    <col min="4634" max="4634" width="30.85546875" style="1666" customWidth="1"/>
    <col min="4635" max="4637" width="11.42578125" style="1666"/>
    <col min="4638" max="4638" width="12.85546875" style="1666" customWidth="1"/>
    <col min="4639" max="4640" width="11.42578125" style="1666"/>
    <col min="4641" max="4641" width="19.85546875" style="1666" customWidth="1"/>
    <col min="4642" max="4864" width="11.42578125" style="1666"/>
    <col min="4865" max="4865" width="49.7109375" style="1666" customWidth="1"/>
    <col min="4866" max="4866" width="16.85546875" style="1666" customWidth="1"/>
    <col min="4867" max="4867" width="15" style="1666" customWidth="1"/>
    <col min="4868" max="4868" width="12.28515625" style="1666" customWidth="1"/>
    <col min="4869" max="4869" width="8.42578125" style="1666" customWidth="1"/>
    <col min="4870" max="4870" width="14.42578125" style="1666" customWidth="1"/>
    <col min="4871" max="4871" width="17.42578125" style="1666" customWidth="1"/>
    <col min="4872" max="4872" width="9" style="1666" customWidth="1"/>
    <col min="4873" max="4873" width="12.140625" style="1666" customWidth="1"/>
    <col min="4874" max="4874" width="8.42578125" style="1666" customWidth="1"/>
    <col min="4875" max="4875" width="12" style="1666" customWidth="1"/>
    <col min="4876" max="4876" width="11.42578125" style="1666"/>
    <col min="4877" max="4877" width="11.28515625" style="1666" customWidth="1"/>
    <col min="4878" max="4878" width="13.7109375" style="1666" customWidth="1"/>
    <col min="4879" max="4879" width="16.7109375" style="1666" customWidth="1"/>
    <col min="4880" max="4880" width="13.42578125" style="1666" customWidth="1"/>
    <col min="4881" max="4881" width="11.42578125" style="1666"/>
    <col min="4882" max="4882" width="13.7109375" style="1666" customWidth="1"/>
    <col min="4883" max="4884" width="11.42578125" style="1666"/>
    <col min="4885" max="4885" width="17.28515625" style="1666" customWidth="1"/>
    <col min="4886" max="4888" width="11.42578125" style="1666"/>
    <col min="4889" max="4889" width="12.42578125" style="1666" customWidth="1"/>
    <col min="4890" max="4890" width="30.85546875" style="1666" customWidth="1"/>
    <col min="4891" max="4893" width="11.42578125" style="1666"/>
    <col min="4894" max="4894" width="12.85546875" style="1666" customWidth="1"/>
    <col min="4895" max="4896" width="11.42578125" style="1666"/>
    <col min="4897" max="4897" width="19.85546875" style="1666" customWidth="1"/>
    <col min="4898" max="5120" width="11.42578125" style="1666"/>
    <col min="5121" max="5121" width="49.7109375" style="1666" customWidth="1"/>
    <col min="5122" max="5122" width="16.85546875" style="1666" customWidth="1"/>
    <col min="5123" max="5123" width="15" style="1666" customWidth="1"/>
    <col min="5124" max="5124" width="12.28515625" style="1666" customWidth="1"/>
    <col min="5125" max="5125" width="8.42578125" style="1666" customWidth="1"/>
    <col min="5126" max="5126" width="14.42578125" style="1666" customWidth="1"/>
    <col min="5127" max="5127" width="17.42578125" style="1666" customWidth="1"/>
    <col min="5128" max="5128" width="9" style="1666" customWidth="1"/>
    <col min="5129" max="5129" width="12.140625" style="1666" customWidth="1"/>
    <col min="5130" max="5130" width="8.42578125" style="1666" customWidth="1"/>
    <col min="5131" max="5131" width="12" style="1666" customWidth="1"/>
    <col min="5132" max="5132" width="11.42578125" style="1666"/>
    <col min="5133" max="5133" width="11.28515625" style="1666" customWidth="1"/>
    <col min="5134" max="5134" width="13.7109375" style="1666" customWidth="1"/>
    <col min="5135" max="5135" width="16.7109375" style="1666" customWidth="1"/>
    <col min="5136" max="5136" width="13.42578125" style="1666" customWidth="1"/>
    <col min="5137" max="5137" width="11.42578125" style="1666"/>
    <col min="5138" max="5138" width="13.7109375" style="1666" customWidth="1"/>
    <col min="5139" max="5140" width="11.42578125" style="1666"/>
    <col min="5141" max="5141" width="17.28515625" style="1666" customWidth="1"/>
    <col min="5142" max="5144" width="11.42578125" style="1666"/>
    <col min="5145" max="5145" width="12.42578125" style="1666" customWidth="1"/>
    <col min="5146" max="5146" width="30.85546875" style="1666" customWidth="1"/>
    <col min="5147" max="5149" width="11.42578125" style="1666"/>
    <col min="5150" max="5150" width="12.85546875" style="1666" customWidth="1"/>
    <col min="5151" max="5152" width="11.42578125" style="1666"/>
    <col min="5153" max="5153" width="19.85546875" style="1666" customWidth="1"/>
    <col min="5154" max="5376" width="11.42578125" style="1666"/>
    <col min="5377" max="5377" width="49.7109375" style="1666" customWidth="1"/>
    <col min="5378" max="5378" width="16.85546875" style="1666" customWidth="1"/>
    <col min="5379" max="5379" width="15" style="1666" customWidth="1"/>
    <col min="5380" max="5380" width="12.28515625" style="1666" customWidth="1"/>
    <col min="5381" max="5381" width="8.42578125" style="1666" customWidth="1"/>
    <col min="5382" max="5382" width="14.42578125" style="1666" customWidth="1"/>
    <col min="5383" max="5383" width="17.42578125" style="1666" customWidth="1"/>
    <col min="5384" max="5384" width="9" style="1666" customWidth="1"/>
    <col min="5385" max="5385" width="12.140625" style="1666" customWidth="1"/>
    <col min="5386" max="5386" width="8.42578125" style="1666" customWidth="1"/>
    <col min="5387" max="5387" width="12" style="1666" customWidth="1"/>
    <col min="5388" max="5388" width="11.42578125" style="1666"/>
    <col min="5389" max="5389" width="11.28515625" style="1666" customWidth="1"/>
    <col min="5390" max="5390" width="13.7109375" style="1666" customWidth="1"/>
    <col min="5391" max="5391" width="16.7109375" style="1666" customWidth="1"/>
    <col min="5392" max="5392" width="13.42578125" style="1666" customWidth="1"/>
    <col min="5393" max="5393" width="11.42578125" style="1666"/>
    <col min="5394" max="5394" width="13.7109375" style="1666" customWidth="1"/>
    <col min="5395" max="5396" width="11.42578125" style="1666"/>
    <col min="5397" max="5397" width="17.28515625" style="1666" customWidth="1"/>
    <col min="5398" max="5400" width="11.42578125" style="1666"/>
    <col min="5401" max="5401" width="12.42578125" style="1666" customWidth="1"/>
    <col min="5402" max="5402" width="30.85546875" style="1666" customWidth="1"/>
    <col min="5403" max="5405" width="11.42578125" style="1666"/>
    <col min="5406" max="5406" width="12.85546875" style="1666" customWidth="1"/>
    <col min="5407" max="5408" width="11.42578125" style="1666"/>
    <col min="5409" max="5409" width="19.85546875" style="1666" customWidth="1"/>
    <col min="5410" max="5632" width="11.42578125" style="1666"/>
    <col min="5633" max="5633" width="49.7109375" style="1666" customWidth="1"/>
    <col min="5634" max="5634" width="16.85546875" style="1666" customWidth="1"/>
    <col min="5635" max="5635" width="15" style="1666" customWidth="1"/>
    <col min="5636" max="5636" width="12.28515625" style="1666" customWidth="1"/>
    <col min="5637" max="5637" width="8.42578125" style="1666" customWidth="1"/>
    <col min="5638" max="5638" width="14.42578125" style="1666" customWidth="1"/>
    <col min="5639" max="5639" width="17.42578125" style="1666" customWidth="1"/>
    <col min="5640" max="5640" width="9" style="1666" customWidth="1"/>
    <col min="5641" max="5641" width="12.140625" style="1666" customWidth="1"/>
    <col min="5642" max="5642" width="8.42578125" style="1666" customWidth="1"/>
    <col min="5643" max="5643" width="12" style="1666" customWidth="1"/>
    <col min="5644" max="5644" width="11.42578125" style="1666"/>
    <col min="5645" max="5645" width="11.28515625" style="1666" customWidth="1"/>
    <col min="5646" max="5646" width="13.7109375" style="1666" customWidth="1"/>
    <col min="5647" max="5647" width="16.7109375" style="1666" customWidth="1"/>
    <col min="5648" max="5648" width="13.42578125" style="1666" customWidth="1"/>
    <col min="5649" max="5649" width="11.42578125" style="1666"/>
    <col min="5650" max="5650" width="13.7109375" style="1666" customWidth="1"/>
    <col min="5651" max="5652" width="11.42578125" style="1666"/>
    <col min="5653" max="5653" width="17.28515625" style="1666" customWidth="1"/>
    <col min="5654" max="5656" width="11.42578125" style="1666"/>
    <col min="5657" max="5657" width="12.42578125" style="1666" customWidth="1"/>
    <col min="5658" max="5658" width="30.85546875" style="1666" customWidth="1"/>
    <col min="5659" max="5661" width="11.42578125" style="1666"/>
    <col min="5662" max="5662" width="12.85546875" style="1666" customWidth="1"/>
    <col min="5663" max="5664" width="11.42578125" style="1666"/>
    <col min="5665" max="5665" width="19.85546875" style="1666" customWidth="1"/>
    <col min="5666" max="5888" width="11.42578125" style="1666"/>
    <col min="5889" max="5889" width="49.7109375" style="1666" customWidth="1"/>
    <col min="5890" max="5890" width="16.85546875" style="1666" customWidth="1"/>
    <col min="5891" max="5891" width="15" style="1666" customWidth="1"/>
    <col min="5892" max="5892" width="12.28515625" style="1666" customWidth="1"/>
    <col min="5893" max="5893" width="8.42578125" style="1666" customWidth="1"/>
    <col min="5894" max="5894" width="14.42578125" style="1666" customWidth="1"/>
    <col min="5895" max="5895" width="17.42578125" style="1666" customWidth="1"/>
    <col min="5896" max="5896" width="9" style="1666" customWidth="1"/>
    <col min="5897" max="5897" width="12.140625" style="1666" customWidth="1"/>
    <col min="5898" max="5898" width="8.42578125" style="1666" customWidth="1"/>
    <col min="5899" max="5899" width="12" style="1666" customWidth="1"/>
    <col min="5900" max="5900" width="11.42578125" style="1666"/>
    <col min="5901" max="5901" width="11.28515625" style="1666" customWidth="1"/>
    <col min="5902" max="5902" width="13.7109375" style="1666" customWidth="1"/>
    <col min="5903" max="5903" width="16.7109375" style="1666" customWidth="1"/>
    <col min="5904" max="5904" width="13.42578125" style="1666" customWidth="1"/>
    <col min="5905" max="5905" width="11.42578125" style="1666"/>
    <col min="5906" max="5906" width="13.7109375" style="1666" customWidth="1"/>
    <col min="5907" max="5908" width="11.42578125" style="1666"/>
    <col min="5909" max="5909" width="17.28515625" style="1666" customWidth="1"/>
    <col min="5910" max="5912" width="11.42578125" style="1666"/>
    <col min="5913" max="5913" width="12.42578125" style="1666" customWidth="1"/>
    <col min="5914" max="5914" width="30.85546875" style="1666" customWidth="1"/>
    <col min="5915" max="5917" width="11.42578125" style="1666"/>
    <col min="5918" max="5918" width="12.85546875" style="1666" customWidth="1"/>
    <col min="5919" max="5920" width="11.42578125" style="1666"/>
    <col min="5921" max="5921" width="19.85546875" style="1666" customWidth="1"/>
    <col min="5922" max="6144" width="11.42578125" style="1666"/>
    <col min="6145" max="6145" width="49.7109375" style="1666" customWidth="1"/>
    <col min="6146" max="6146" width="16.85546875" style="1666" customWidth="1"/>
    <col min="6147" max="6147" width="15" style="1666" customWidth="1"/>
    <col min="6148" max="6148" width="12.28515625" style="1666" customWidth="1"/>
    <col min="6149" max="6149" width="8.42578125" style="1666" customWidth="1"/>
    <col min="6150" max="6150" width="14.42578125" style="1666" customWidth="1"/>
    <col min="6151" max="6151" width="17.42578125" style="1666" customWidth="1"/>
    <col min="6152" max="6152" width="9" style="1666" customWidth="1"/>
    <col min="6153" max="6153" width="12.140625" style="1666" customWidth="1"/>
    <col min="6154" max="6154" width="8.42578125" style="1666" customWidth="1"/>
    <col min="6155" max="6155" width="12" style="1666" customWidth="1"/>
    <col min="6156" max="6156" width="11.42578125" style="1666"/>
    <col min="6157" max="6157" width="11.28515625" style="1666" customWidth="1"/>
    <col min="6158" max="6158" width="13.7109375" style="1666" customWidth="1"/>
    <col min="6159" max="6159" width="16.7109375" style="1666" customWidth="1"/>
    <col min="6160" max="6160" width="13.42578125" style="1666" customWidth="1"/>
    <col min="6161" max="6161" width="11.42578125" style="1666"/>
    <col min="6162" max="6162" width="13.7109375" style="1666" customWidth="1"/>
    <col min="6163" max="6164" width="11.42578125" style="1666"/>
    <col min="6165" max="6165" width="17.28515625" style="1666" customWidth="1"/>
    <col min="6166" max="6168" width="11.42578125" style="1666"/>
    <col min="6169" max="6169" width="12.42578125" style="1666" customWidth="1"/>
    <col min="6170" max="6170" width="30.85546875" style="1666" customWidth="1"/>
    <col min="6171" max="6173" width="11.42578125" style="1666"/>
    <col min="6174" max="6174" width="12.85546875" style="1666" customWidth="1"/>
    <col min="6175" max="6176" width="11.42578125" style="1666"/>
    <col min="6177" max="6177" width="19.85546875" style="1666" customWidth="1"/>
    <col min="6178" max="6400" width="11.42578125" style="1666"/>
    <col min="6401" max="6401" width="49.7109375" style="1666" customWidth="1"/>
    <col min="6402" max="6402" width="16.85546875" style="1666" customWidth="1"/>
    <col min="6403" max="6403" width="15" style="1666" customWidth="1"/>
    <col min="6404" max="6404" width="12.28515625" style="1666" customWidth="1"/>
    <col min="6405" max="6405" width="8.42578125" style="1666" customWidth="1"/>
    <col min="6406" max="6406" width="14.42578125" style="1666" customWidth="1"/>
    <col min="6407" max="6407" width="17.42578125" style="1666" customWidth="1"/>
    <col min="6408" max="6408" width="9" style="1666" customWidth="1"/>
    <col min="6409" max="6409" width="12.140625" style="1666" customWidth="1"/>
    <col min="6410" max="6410" width="8.42578125" style="1666" customWidth="1"/>
    <col min="6411" max="6411" width="12" style="1666" customWidth="1"/>
    <col min="6412" max="6412" width="11.42578125" style="1666"/>
    <col min="6413" max="6413" width="11.28515625" style="1666" customWidth="1"/>
    <col min="6414" max="6414" width="13.7109375" style="1666" customWidth="1"/>
    <col min="6415" max="6415" width="16.7109375" style="1666" customWidth="1"/>
    <col min="6416" max="6416" width="13.42578125" style="1666" customWidth="1"/>
    <col min="6417" max="6417" width="11.42578125" style="1666"/>
    <col min="6418" max="6418" width="13.7109375" style="1666" customWidth="1"/>
    <col min="6419" max="6420" width="11.42578125" style="1666"/>
    <col min="6421" max="6421" width="17.28515625" style="1666" customWidth="1"/>
    <col min="6422" max="6424" width="11.42578125" style="1666"/>
    <col min="6425" max="6425" width="12.42578125" style="1666" customWidth="1"/>
    <col min="6426" max="6426" width="30.85546875" style="1666" customWidth="1"/>
    <col min="6427" max="6429" width="11.42578125" style="1666"/>
    <col min="6430" max="6430" width="12.85546875" style="1666" customWidth="1"/>
    <col min="6431" max="6432" width="11.42578125" style="1666"/>
    <col min="6433" max="6433" width="19.85546875" style="1666" customWidth="1"/>
    <col min="6434" max="6656" width="11.42578125" style="1666"/>
    <col min="6657" max="6657" width="49.7109375" style="1666" customWidth="1"/>
    <col min="6658" max="6658" width="16.85546875" style="1666" customWidth="1"/>
    <col min="6659" max="6659" width="15" style="1666" customWidth="1"/>
    <col min="6660" max="6660" width="12.28515625" style="1666" customWidth="1"/>
    <col min="6661" max="6661" width="8.42578125" style="1666" customWidth="1"/>
    <col min="6662" max="6662" width="14.42578125" style="1666" customWidth="1"/>
    <col min="6663" max="6663" width="17.42578125" style="1666" customWidth="1"/>
    <col min="6664" max="6664" width="9" style="1666" customWidth="1"/>
    <col min="6665" max="6665" width="12.140625" style="1666" customWidth="1"/>
    <col min="6666" max="6666" width="8.42578125" style="1666" customWidth="1"/>
    <col min="6667" max="6667" width="12" style="1666" customWidth="1"/>
    <col min="6668" max="6668" width="11.42578125" style="1666"/>
    <col min="6669" max="6669" width="11.28515625" style="1666" customWidth="1"/>
    <col min="6670" max="6670" width="13.7109375" style="1666" customWidth="1"/>
    <col min="6671" max="6671" width="16.7109375" style="1666" customWidth="1"/>
    <col min="6672" max="6672" width="13.42578125" style="1666" customWidth="1"/>
    <col min="6673" max="6673" width="11.42578125" style="1666"/>
    <col min="6674" max="6674" width="13.7109375" style="1666" customWidth="1"/>
    <col min="6675" max="6676" width="11.42578125" style="1666"/>
    <col min="6677" max="6677" width="17.28515625" style="1666" customWidth="1"/>
    <col min="6678" max="6680" width="11.42578125" style="1666"/>
    <col min="6681" max="6681" width="12.42578125" style="1666" customWidth="1"/>
    <col min="6682" max="6682" width="30.85546875" style="1666" customWidth="1"/>
    <col min="6683" max="6685" width="11.42578125" style="1666"/>
    <col min="6686" max="6686" width="12.85546875" style="1666" customWidth="1"/>
    <col min="6687" max="6688" width="11.42578125" style="1666"/>
    <col min="6689" max="6689" width="19.85546875" style="1666" customWidth="1"/>
    <col min="6690" max="6912" width="11.42578125" style="1666"/>
    <col min="6913" max="6913" width="49.7109375" style="1666" customWidth="1"/>
    <col min="6914" max="6914" width="16.85546875" style="1666" customWidth="1"/>
    <col min="6915" max="6915" width="15" style="1666" customWidth="1"/>
    <col min="6916" max="6916" width="12.28515625" style="1666" customWidth="1"/>
    <col min="6917" max="6917" width="8.42578125" style="1666" customWidth="1"/>
    <col min="6918" max="6918" width="14.42578125" style="1666" customWidth="1"/>
    <col min="6919" max="6919" width="17.42578125" style="1666" customWidth="1"/>
    <col min="6920" max="6920" width="9" style="1666" customWidth="1"/>
    <col min="6921" max="6921" width="12.140625" style="1666" customWidth="1"/>
    <col min="6922" max="6922" width="8.42578125" style="1666" customWidth="1"/>
    <col min="6923" max="6923" width="12" style="1666" customWidth="1"/>
    <col min="6924" max="6924" width="11.42578125" style="1666"/>
    <col min="6925" max="6925" width="11.28515625" style="1666" customWidth="1"/>
    <col min="6926" max="6926" width="13.7109375" style="1666" customWidth="1"/>
    <col min="6927" max="6927" width="16.7109375" style="1666" customWidth="1"/>
    <col min="6928" max="6928" width="13.42578125" style="1666" customWidth="1"/>
    <col min="6929" max="6929" width="11.42578125" style="1666"/>
    <col min="6930" max="6930" width="13.7109375" style="1666" customWidth="1"/>
    <col min="6931" max="6932" width="11.42578125" style="1666"/>
    <col min="6933" max="6933" width="17.28515625" style="1666" customWidth="1"/>
    <col min="6934" max="6936" width="11.42578125" style="1666"/>
    <col min="6937" max="6937" width="12.42578125" style="1666" customWidth="1"/>
    <col min="6938" max="6938" width="30.85546875" style="1666" customWidth="1"/>
    <col min="6939" max="6941" width="11.42578125" style="1666"/>
    <col min="6942" max="6942" width="12.85546875" style="1666" customWidth="1"/>
    <col min="6943" max="6944" width="11.42578125" style="1666"/>
    <col min="6945" max="6945" width="19.85546875" style="1666" customWidth="1"/>
    <col min="6946" max="7168" width="11.42578125" style="1666"/>
    <col min="7169" max="7169" width="49.7109375" style="1666" customWidth="1"/>
    <col min="7170" max="7170" width="16.85546875" style="1666" customWidth="1"/>
    <col min="7171" max="7171" width="15" style="1666" customWidth="1"/>
    <col min="7172" max="7172" width="12.28515625" style="1666" customWidth="1"/>
    <col min="7173" max="7173" width="8.42578125" style="1666" customWidth="1"/>
    <col min="7174" max="7174" width="14.42578125" style="1666" customWidth="1"/>
    <col min="7175" max="7175" width="17.42578125" style="1666" customWidth="1"/>
    <col min="7176" max="7176" width="9" style="1666" customWidth="1"/>
    <col min="7177" max="7177" width="12.140625" style="1666" customWidth="1"/>
    <col min="7178" max="7178" width="8.42578125" style="1666" customWidth="1"/>
    <col min="7179" max="7179" width="12" style="1666" customWidth="1"/>
    <col min="7180" max="7180" width="11.42578125" style="1666"/>
    <col min="7181" max="7181" width="11.28515625" style="1666" customWidth="1"/>
    <col min="7182" max="7182" width="13.7109375" style="1666" customWidth="1"/>
    <col min="7183" max="7183" width="16.7109375" style="1666" customWidth="1"/>
    <col min="7184" max="7184" width="13.42578125" style="1666" customWidth="1"/>
    <col min="7185" max="7185" width="11.42578125" style="1666"/>
    <col min="7186" max="7186" width="13.7109375" style="1666" customWidth="1"/>
    <col min="7187" max="7188" width="11.42578125" style="1666"/>
    <col min="7189" max="7189" width="17.28515625" style="1666" customWidth="1"/>
    <col min="7190" max="7192" width="11.42578125" style="1666"/>
    <col min="7193" max="7193" width="12.42578125" style="1666" customWidth="1"/>
    <col min="7194" max="7194" width="30.85546875" style="1666" customWidth="1"/>
    <col min="7195" max="7197" width="11.42578125" style="1666"/>
    <col min="7198" max="7198" width="12.85546875" style="1666" customWidth="1"/>
    <col min="7199" max="7200" width="11.42578125" style="1666"/>
    <col min="7201" max="7201" width="19.85546875" style="1666" customWidth="1"/>
    <col min="7202" max="7424" width="11.42578125" style="1666"/>
    <col min="7425" max="7425" width="49.7109375" style="1666" customWidth="1"/>
    <col min="7426" max="7426" width="16.85546875" style="1666" customWidth="1"/>
    <col min="7427" max="7427" width="15" style="1666" customWidth="1"/>
    <col min="7428" max="7428" width="12.28515625" style="1666" customWidth="1"/>
    <col min="7429" max="7429" width="8.42578125" style="1666" customWidth="1"/>
    <col min="7430" max="7430" width="14.42578125" style="1666" customWidth="1"/>
    <col min="7431" max="7431" width="17.42578125" style="1666" customWidth="1"/>
    <col min="7432" max="7432" width="9" style="1666" customWidth="1"/>
    <col min="7433" max="7433" width="12.140625" style="1666" customWidth="1"/>
    <col min="7434" max="7434" width="8.42578125" style="1666" customWidth="1"/>
    <col min="7435" max="7435" width="12" style="1666" customWidth="1"/>
    <col min="7436" max="7436" width="11.42578125" style="1666"/>
    <col min="7437" max="7437" width="11.28515625" style="1666" customWidth="1"/>
    <col min="7438" max="7438" width="13.7109375" style="1666" customWidth="1"/>
    <col min="7439" max="7439" width="16.7109375" style="1666" customWidth="1"/>
    <col min="7440" max="7440" width="13.42578125" style="1666" customWidth="1"/>
    <col min="7441" max="7441" width="11.42578125" style="1666"/>
    <col min="7442" max="7442" width="13.7109375" style="1666" customWidth="1"/>
    <col min="7443" max="7444" width="11.42578125" style="1666"/>
    <col min="7445" max="7445" width="17.28515625" style="1666" customWidth="1"/>
    <col min="7446" max="7448" width="11.42578125" style="1666"/>
    <col min="7449" max="7449" width="12.42578125" style="1666" customWidth="1"/>
    <col min="7450" max="7450" width="30.85546875" style="1666" customWidth="1"/>
    <col min="7451" max="7453" width="11.42578125" style="1666"/>
    <col min="7454" max="7454" width="12.85546875" style="1666" customWidth="1"/>
    <col min="7455" max="7456" width="11.42578125" style="1666"/>
    <col min="7457" max="7457" width="19.85546875" style="1666" customWidth="1"/>
    <col min="7458" max="7680" width="11.42578125" style="1666"/>
    <col min="7681" max="7681" width="49.7109375" style="1666" customWidth="1"/>
    <col min="7682" max="7682" width="16.85546875" style="1666" customWidth="1"/>
    <col min="7683" max="7683" width="15" style="1666" customWidth="1"/>
    <col min="7684" max="7684" width="12.28515625" style="1666" customWidth="1"/>
    <col min="7685" max="7685" width="8.42578125" style="1666" customWidth="1"/>
    <col min="7686" max="7686" width="14.42578125" style="1666" customWidth="1"/>
    <col min="7687" max="7687" width="17.42578125" style="1666" customWidth="1"/>
    <col min="7688" max="7688" width="9" style="1666" customWidth="1"/>
    <col min="7689" max="7689" width="12.140625" style="1666" customWidth="1"/>
    <col min="7690" max="7690" width="8.42578125" style="1666" customWidth="1"/>
    <col min="7691" max="7691" width="12" style="1666" customWidth="1"/>
    <col min="7692" max="7692" width="11.42578125" style="1666"/>
    <col min="7693" max="7693" width="11.28515625" style="1666" customWidth="1"/>
    <col min="7694" max="7694" width="13.7109375" style="1666" customWidth="1"/>
    <col min="7695" max="7695" width="16.7109375" style="1666" customWidth="1"/>
    <col min="7696" max="7696" width="13.42578125" style="1666" customWidth="1"/>
    <col min="7697" max="7697" width="11.42578125" style="1666"/>
    <col min="7698" max="7698" width="13.7109375" style="1666" customWidth="1"/>
    <col min="7699" max="7700" width="11.42578125" style="1666"/>
    <col min="7701" max="7701" width="17.28515625" style="1666" customWidth="1"/>
    <col min="7702" max="7704" width="11.42578125" style="1666"/>
    <col min="7705" max="7705" width="12.42578125" style="1666" customWidth="1"/>
    <col min="7706" max="7706" width="30.85546875" style="1666" customWidth="1"/>
    <col min="7707" max="7709" width="11.42578125" style="1666"/>
    <col min="7710" max="7710" width="12.85546875" style="1666" customWidth="1"/>
    <col min="7711" max="7712" width="11.42578125" style="1666"/>
    <col min="7713" max="7713" width="19.85546875" style="1666" customWidth="1"/>
    <col min="7714" max="7936" width="11.42578125" style="1666"/>
    <col min="7937" max="7937" width="49.7109375" style="1666" customWidth="1"/>
    <col min="7938" max="7938" width="16.85546875" style="1666" customWidth="1"/>
    <col min="7939" max="7939" width="15" style="1666" customWidth="1"/>
    <col min="7940" max="7940" width="12.28515625" style="1666" customWidth="1"/>
    <col min="7941" max="7941" width="8.42578125" style="1666" customWidth="1"/>
    <col min="7942" max="7942" width="14.42578125" style="1666" customWidth="1"/>
    <col min="7943" max="7943" width="17.42578125" style="1666" customWidth="1"/>
    <col min="7944" max="7944" width="9" style="1666" customWidth="1"/>
    <col min="7945" max="7945" width="12.140625" style="1666" customWidth="1"/>
    <col min="7946" max="7946" width="8.42578125" style="1666" customWidth="1"/>
    <col min="7947" max="7947" width="12" style="1666" customWidth="1"/>
    <col min="7948" max="7948" width="11.42578125" style="1666"/>
    <col min="7949" max="7949" width="11.28515625" style="1666" customWidth="1"/>
    <col min="7950" max="7950" width="13.7109375" style="1666" customWidth="1"/>
    <col min="7951" max="7951" width="16.7109375" style="1666" customWidth="1"/>
    <col min="7952" max="7952" width="13.42578125" style="1666" customWidth="1"/>
    <col min="7953" max="7953" width="11.42578125" style="1666"/>
    <col min="7954" max="7954" width="13.7109375" style="1666" customWidth="1"/>
    <col min="7955" max="7956" width="11.42578125" style="1666"/>
    <col min="7957" max="7957" width="17.28515625" style="1666" customWidth="1"/>
    <col min="7958" max="7960" width="11.42578125" style="1666"/>
    <col min="7961" max="7961" width="12.42578125" style="1666" customWidth="1"/>
    <col min="7962" max="7962" width="30.85546875" style="1666" customWidth="1"/>
    <col min="7963" max="7965" width="11.42578125" style="1666"/>
    <col min="7966" max="7966" width="12.85546875" style="1666" customWidth="1"/>
    <col min="7967" max="7968" width="11.42578125" style="1666"/>
    <col min="7969" max="7969" width="19.85546875" style="1666" customWidth="1"/>
    <col min="7970" max="8192" width="11.42578125" style="1666"/>
    <col min="8193" max="8193" width="49.7109375" style="1666" customWidth="1"/>
    <col min="8194" max="8194" width="16.85546875" style="1666" customWidth="1"/>
    <col min="8195" max="8195" width="15" style="1666" customWidth="1"/>
    <col min="8196" max="8196" width="12.28515625" style="1666" customWidth="1"/>
    <col min="8197" max="8197" width="8.42578125" style="1666" customWidth="1"/>
    <col min="8198" max="8198" width="14.42578125" style="1666" customWidth="1"/>
    <col min="8199" max="8199" width="17.42578125" style="1666" customWidth="1"/>
    <col min="8200" max="8200" width="9" style="1666" customWidth="1"/>
    <col min="8201" max="8201" width="12.140625" style="1666" customWidth="1"/>
    <col min="8202" max="8202" width="8.42578125" style="1666" customWidth="1"/>
    <col min="8203" max="8203" width="12" style="1666" customWidth="1"/>
    <col min="8204" max="8204" width="11.42578125" style="1666"/>
    <col min="8205" max="8205" width="11.28515625" style="1666" customWidth="1"/>
    <col min="8206" max="8206" width="13.7109375" style="1666" customWidth="1"/>
    <col min="8207" max="8207" width="16.7109375" style="1666" customWidth="1"/>
    <col min="8208" max="8208" width="13.42578125" style="1666" customWidth="1"/>
    <col min="8209" max="8209" width="11.42578125" style="1666"/>
    <col min="8210" max="8210" width="13.7109375" style="1666" customWidth="1"/>
    <col min="8211" max="8212" width="11.42578125" style="1666"/>
    <col min="8213" max="8213" width="17.28515625" style="1666" customWidth="1"/>
    <col min="8214" max="8216" width="11.42578125" style="1666"/>
    <col min="8217" max="8217" width="12.42578125" style="1666" customWidth="1"/>
    <col min="8218" max="8218" width="30.85546875" style="1666" customWidth="1"/>
    <col min="8219" max="8221" width="11.42578125" style="1666"/>
    <col min="8222" max="8222" width="12.85546875" style="1666" customWidth="1"/>
    <col min="8223" max="8224" width="11.42578125" style="1666"/>
    <col min="8225" max="8225" width="19.85546875" style="1666" customWidth="1"/>
    <col min="8226" max="8448" width="11.42578125" style="1666"/>
    <col min="8449" max="8449" width="49.7109375" style="1666" customWidth="1"/>
    <col min="8450" max="8450" width="16.85546875" style="1666" customWidth="1"/>
    <col min="8451" max="8451" width="15" style="1666" customWidth="1"/>
    <col min="8452" max="8452" width="12.28515625" style="1666" customWidth="1"/>
    <col min="8453" max="8453" width="8.42578125" style="1666" customWidth="1"/>
    <col min="8454" max="8454" width="14.42578125" style="1666" customWidth="1"/>
    <col min="8455" max="8455" width="17.42578125" style="1666" customWidth="1"/>
    <col min="8456" max="8456" width="9" style="1666" customWidth="1"/>
    <col min="8457" max="8457" width="12.140625" style="1666" customWidth="1"/>
    <col min="8458" max="8458" width="8.42578125" style="1666" customWidth="1"/>
    <col min="8459" max="8459" width="12" style="1666" customWidth="1"/>
    <col min="8460" max="8460" width="11.42578125" style="1666"/>
    <col min="8461" max="8461" width="11.28515625" style="1666" customWidth="1"/>
    <col min="8462" max="8462" width="13.7109375" style="1666" customWidth="1"/>
    <col min="8463" max="8463" width="16.7109375" style="1666" customWidth="1"/>
    <col min="8464" max="8464" width="13.42578125" style="1666" customWidth="1"/>
    <col min="8465" max="8465" width="11.42578125" style="1666"/>
    <col min="8466" max="8466" width="13.7109375" style="1666" customWidth="1"/>
    <col min="8467" max="8468" width="11.42578125" style="1666"/>
    <col min="8469" max="8469" width="17.28515625" style="1666" customWidth="1"/>
    <col min="8470" max="8472" width="11.42578125" style="1666"/>
    <col min="8473" max="8473" width="12.42578125" style="1666" customWidth="1"/>
    <col min="8474" max="8474" width="30.85546875" style="1666" customWidth="1"/>
    <col min="8475" max="8477" width="11.42578125" style="1666"/>
    <col min="8478" max="8478" width="12.85546875" style="1666" customWidth="1"/>
    <col min="8479" max="8480" width="11.42578125" style="1666"/>
    <col min="8481" max="8481" width="19.85546875" style="1666" customWidth="1"/>
    <col min="8482" max="8704" width="11.42578125" style="1666"/>
    <col min="8705" max="8705" width="49.7109375" style="1666" customWidth="1"/>
    <col min="8706" max="8706" width="16.85546875" style="1666" customWidth="1"/>
    <col min="8707" max="8707" width="15" style="1666" customWidth="1"/>
    <col min="8708" max="8708" width="12.28515625" style="1666" customWidth="1"/>
    <col min="8709" max="8709" width="8.42578125" style="1666" customWidth="1"/>
    <col min="8710" max="8710" width="14.42578125" style="1666" customWidth="1"/>
    <col min="8711" max="8711" width="17.42578125" style="1666" customWidth="1"/>
    <col min="8712" max="8712" width="9" style="1666" customWidth="1"/>
    <col min="8713" max="8713" width="12.140625" style="1666" customWidth="1"/>
    <col min="8714" max="8714" width="8.42578125" style="1666" customWidth="1"/>
    <col min="8715" max="8715" width="12" style="1666" customWidth="1"/>
    <col min="8716" max="8716" width="11.42578125" style="1666"/>
    <col min="8717" max="8717" width="11.28515625" style="1666" customWidth="1"/>
    <col min="8718" max="8718" width="13.7109375" style="1666" customWidth="1"/>
    <col min="8719" max="8719" width="16.7109375" style="1666" customWidth="1"/>
    <col min="8720" max="8720" width="13.42578125" style="1666" customWidth="1"/>
    <col min="8721" max="8721" width="11.42578125" style="1666"/>
    <col min="8722" max="8722" width="13.7109375" style="1666" customWidth="1"/>
    <col min="8723" max="8724" width="11.42578125" style="1666"/>
    <col min="8725" max="8725" width="17.28515625" style="1666" customWidth="1"/>
    <col min="8726" max="8728" width="11.42578125" style="1666"/>
    <col min="8729" max="8729" width="12.42578125" style="1666" customWidth="1"/>
    <col min="8730" max="8730" width="30.85546875" style="1666" customWidth="1"/>
    <col min="8731" max="8733" width="11.42578125" style="1666"/>
    <col min="8734" max="8734" width="12.85546875" style="1666" customWidth="1"/>
    <col min="8735" max="8736" width="11.42578125" style="1666"/>
    <col min="8737" max="8737" width="19.85546875" style="1666" customWidth="1"/>
    <col min="8738" max="8960" width="11.42578125" style="1666"/>
    <col min="8961" max="8961" width="49.7109375" style="1666" customWidth="1"/>
    <col min="8962" max="8962" width="16.85546875" style="1666" customWidth="1"/>
    <col min="8963" max="8963" width="15" style="1666" customWidth="1"/>
    <col min="8964" max="8964" width="12.28515625" style="1666" customWidth="1"/>
    <col min="8965" max="8965" width="8.42578125" style="1666" customWidth="1"/>
    <col min="8966" max="8966" width="14.42578125" style="1666" customWidth="1"/>
    <col min="8967" max="8967" width="17.42578125" style="1666" customWidth="1"/>
    <col min="8968" max="8968" width="9" style="1666" customWidth="1"/>
    <col min="8969" max="8969" width="12.140625" style="1666" customWidth="1"/>
    <col min="8970" max="8970" width="8.42578125" style="1666" customWidth="1"/>
    <col min="8971" max="8971" width="12" style="1666" customWidth="1"/>
    <col min="8972" max="8972" width="11.42578125" style="1666"/>
    <col min="8973" max="8973" width="11.28515625" style="1666" customWidth="1"/>
    <col min="8974" max="8974" width="13.7109375" style="1666" customWidth="1"/>
    <col min="8975" max="8975" width="16.7109375" style="1666" customWidth="1"/>
    <col min="8976" max="8976" width="13.42578125" style="1666" customWidth="1"/>
    <col min="8977" max="8977" width="11.42578125" style="1666"/>
    <col min="8978" max="8978" width="13.7109375" style="1666" customWidth="1"/>
    <col min="8979" max="8980" width="11.42578125" style="1666"/>
    <col min="8981" max="8981" width="17.28515625" style="1666" customWidth="1"/>
    <col min="8982" max="8984" width="11.42578125" style="1666"/>
    <col min="8985" max="8985" width="12.42578125" style="1666" customWidth="1"/>
    <col min="8986" max="8986" width="30.85546875" style="1666" customWidth="1"/>
    <col min="8987" max="8989" width="11.42578125" style="1666"/>
    <col min="8990" max="8990" width="12.85546875" style="1666" customWidth="1"/>
    <col min="8991" max="8992" width="11.42578125" style="1666"/>
    <col min="8993" max="8993" width="19.85546875" style="1666" customWidth="1"/>
    <col min="8994" max="9216" width="11.42578125" style="1666"/>
    <col min="9217" max="9217" width="49.7109375" style="1666" customWidth="1"/>
    <col min="9218" max="9218" width="16.85546875" style="1666" customWidth="1"/>
    <col min="9219" max="9219" width="15" style="1666" customWidth="1"/>
    <col min="9220" max="9220" width="12.28515625" style="1666" customWidth="1"/>
    <col min="9221" max="9221" width="8.42578125" style="1666" customWidth="1"/>
    <col min="9222" max="9222" width="14.42578125" style="1666" customWidth="1"/>
    <col min="9223" max="9223" width="17.42578125" style="1666" customWidth="1"/>
    <col min="9224" max="9224" width="9" style="1666" customWidth="1"/>
    <col min="9225" max="9225" width="12.140625" style="1666" customWidth="1"/>
    <col min="9226" max="9226" width="8.42578125" style="1666" customWidth="1"/>
    <col min="9227" max="9227" width="12" style="1666" customWidth="1"/>
    <col min="9228" max="9228" width="11.42578125" style="1666"/>
    <col min="9229" max="9229" width="11.28515625" style="1666" customWidth="1"/>
    <col min="9230" max="9230" width="13.7109375" style="1666" customWidth="1"/>
    <col min="9231" max="9231" width="16.7109375" style="1666" customWidth="1"/>
    <col min="9232" max="9232" width="13.42578125" style="1666" customWidth="1"/>
    <col min="9233" max="9233" width="11.42578125" style="1666"/>
    <col min="9234" max="9234" width="13.7109375" style="1666" customWidth="1"/>
    <col min="9235" max="9236" width="11.42578125" style="1666"/>
    <col min="9237" max="9237" width="17.28515625" style="1666" customWidth="1"/>
    <col min="9238" max="9240" width="11.42578125" style="1666"/>
    <col min="9241" max="9241" width="12.42578125" style="1666" customWidth="1"/>
    <col min="9242" max="9242" width="30.85546875" style="1666" customWidth="1"/>
    <col min="9243" max="9245" width="11.42578125" style="1666"/>
    <col min="9246" max="9246" width="12.85546875" style="1666" customWidth="1"/>
    <col min="9247" max="9248" width="11.42578125" style="1666"/>
    <col min="9249" max="9249" width="19.85546875" style="1666" customWidth="1"/>
    <col min="9250" max="9472" width="11.42578125" style="1666"/>
    <col min="9473" max="9473" width="49.7109375" style="1666" customWidth="1"/>
    <col min="9474" max="9474" width="16.85546875" style="1666" customWidth="1"/>
    <col min="9475" max="9475" width="15" style="1666" customWidth="1"/>
    <col min="9476" max="9476" width="12.28515625" style="1666" customWidth="1"/>
    <col min="9477" max="9477" width="8.42578125" style="1666" customWidth="1"/>
    <col min="9478" max="9478" width="14.42578125" style="1666" customWidth="1"/>
    <col min="9479" max="9479" width="17.42578125" style="1666" customWidth="1"/>
    <col min="9480" max="9480" width="9" style="1666" customWidth="1"/>
    <col min="9481" max="9481" width="12.140625" style="1666" customWidth="1"/>
    <col min="9482" max="9482" width="8.42578125" style="1666" customWidth="1"/>
    <col min="9483" max="9483" width="12" style="1666" customWidth="1"/>
    <col min="9484" max="9484" width="11.42578125" style="1666"/>
    <col min="9485" max="9485" width="11.28515625" style="1666" customWidth="1"/>
    <col min="9486" max="9486" width="13.7109375" style="1666" customWidth="1"/>
    <col min="9487" max="9487" width="16.7109375" style="1666" customWidth="1"/>
    <col min="9488" max="9488" width="13.42578125" style="1666" customWidth="1"/>
    <col min="9489" max="9489" width="11.42578125" style="1666"/>
    <col min="9490" max="9490" width="13.7109375" style="1666" customWidth="1"/>
    <col min="9491" max="9492" width="11.42578125" style="1666"/>
    <col min="9493" max="9493" width="17.28515625" style="1666" customWidth="1"/>
    <col min="9494" max="9496" width="11.42578125" style="1666"/>
    <col min="9497" max="9497" width="12.42578125" style="1666" customWidth="1"/>
    <col min="9498" max="9498" width="30.85546875" style="1666" customWidth="1"/>
    <col min="9499" max="9501" width="11.42578125" style="1666"/>
    <col min="9502" max="9502" width="12.85546875" style="1666" customWidth="1"/>
    <col min="9503" max="9504" width="11.42578125" style="1666"/>
    <col min="9505" max="9505" width="19.85546875" style="1666" customWidth="1"/>
    <col min="9506" max="9728" width="11.42578125" style="1666"/>
    <col min="9729" max="9729" width="49.7109375" style="1666" customWidth="1"/>
    <col min="9730" max="9730" width="16.85546875" style="1666" customWidth="1"/>
    <col min="9731" max="9731" width="15" style="1666" customWidth="1"/>
    <col min="9732" max="9732" width="12.28515625" style="1666" customWidth="1"/>
    <col min="9733" max="9733" width="8.42578125" style="1666" customWidth="1"/>
    <col min="9734" max="9734" width="14.42578125" style="1666" customWidth="1"/>
    <col min="9735" max="9735" width="17.42578125" style="1666" customWidth="1"/>
    <col min="9736" max="9736" width="9" style="1666" customWidth="1"/>
    <col min="9737" max="9737" width="12.140625" style="1666" customWidth="1"/>
    <col min="9738" max="9738" width="8.42578125" style="1666" customWidth="1"/>
    <col min="9739" max="9739" width="12" style="1666" customWidth="1"/>
    <col min="9740" max="9740" width="11.42578125" style="1666"/>
    <col min="9741" max="9741" width="11.28515625" style="1666" customWidth="1"/>
    <col min="9742" max="9742" width="13.7109375" style="1666" customWidth="1"/>
    <col min="9743" max="9743" width="16.7109375" style="1666" customWidth="1"/>
    <col min="9744" max="9744" width="13.42578125" style="1666" customWidth="1"/>
    <col min="9745" max="9745" width="11.42578125" style="1666"/>
    <col min="9746" max="9746" width="13.7109375" style="1666" customWidth="1"/>
    <col min="9747" max="9748" width="11.42578125" style="1666"/>
    <col min="9749" max="9749" width="17.28515625" style="1666" customWidth="1"/>
    <col min="9750" max="9752" width="11.42578125" style="1666"/>
    <col min="9753" max="9753" width="12.42578125" style="1666" customWidth="1"/>
    <col min="9754" max="9754" width="30.85546875" style="1666" customWidth="1"/>
    <col min="9755" max="9757" width="11.42578125" style="1666"/>
    <col min="9758" max="9758" width="12.85546875" style="1666" customWidth="1"/>
    <col min="9759" max="9760" width="11.42578125" style="1666"/>
    <col min="9761" max="9761" width="19.85546875" style="1666" customWidth="1"/>
    <col min="9762" max="9984" width="11.42578125" style="1666"/>
    <col min="9985" max="9985" width="49.7109375" style="1666" customWidth="1"/>
    <col min="9986" max="9986" width="16.85546875" style="1666" customWidth="1"/>
    <col min="9987" max="9987" width="15" style="1666" customWidth="1"/>
    <col min="9988" max="9988" width="12.28515625" style="1666" customWidth="1"/>
    <col min="9989" max="9989" width="8.42578125" style="1666" customWidth="1"/>
    <col min="9990" max="9990" width="14.42578125" style="1666" customWidth="1"/>
    <col min="9991" max="9991" width="17.42578125" style="1666" customWidth="1"/>
    <col min="9992" max="9992" width="9" style="1666" customWidth="1"/>
    <col min="9993" max="9993" width="12.140625" style="1666" customWidth="1"/>
    <col min="9994" max="9994" width="8.42578125" style="1666" customWidth="1"/>
    <col min="9995" max="9995" width="12" style="1666" customWidth="1"/>
    <col min="9996" max="9996" width="11.42578125" style="1666"/>
    <col min="9997" max="9997" width="11.28515625" style="1666" customWidth="1"/>
    <col min="9998" max="9998" width="13.7109375" style="1666" customWidth="1"/>
    <col min="9999" max="9999" width="16.7109375" style="1666" customWidth="1"/>
    <col min="10000" max="10000" width="13.42578125" style="1666" customWidth="1"/>
    <col min="10001" max="10001" width="11.42578125" style="1666"/>
    <col min="10002" max="10002" width="13.7109375" style="1666" customWidth="1"/>
    <col min="10003" max="10004" width="11.42578125" style="1666"/>
    <col min="10005" max="10005" width="17.28515625" style="1666" customWidth="1"/>
    <col min="10006" max="10008" width="11.42578125" style="1666"/>
    <col min="10009" max="10009" width="12.42578125" style="1666" customWidth="1"/>
    <col min="10010" max="10010" width="30.85546875" style="1666" customWidth="1"/>
    <col min="10011" max="10013" width="11.42578125" style="1666"/>
    <col min="10014" max="10014" width="12.85546875" style="1666" customWidth="1"/>
    <col min="10015" max="10016" width="11.42578125" style="1666"/>
    <col min="10017" max="10017" width="19.85546875" style="1666" customWidth="1"/>
    <col min="10018" max="10240" width="11.42578125" style="1666"/>
    <col min="10241" max="10241" width="49.7109375" style="1666" customWidth="1"/>
    <col min="10242" max="10242" width="16.85546875" style="1666" customWidth="1"/>
    <col min="10243" max="10243" width="15" style="1666" customWidth="1"/>
    <col min="10244" max="10244" width="12.28515625" style="1666" customWidth="1"/>
    <col min="10245" max="10245" width="8.42578125" style="1666" customWidth="1"/>
    <col min="10246" max="10246" width="14.42578125" style="1666" customWidth="1"/>
    <col min="10247" max="10247" width="17.42578125" style="1666" customWidth="1"/>
    <col min="10248" max="10248" width="9" style="1666" customWidth="1"/>
    <col min="10249" max="10249" width="12.140625" style="1666" customWidth="1"/>
    <col min="10250" max="10250" width="8.42578125" style="1666" customWidth="1"/>
    <col min="10251" max="10251" width="12" style="1666" customWidth="1"/>
    <col min="10252" max="10252" width="11.42578125" style="1666"/>
    <col min="10253" max="10253" width="11.28515625" style="1666" customWidth="1"/>
    <col min="10254" max="10254" width="13.7109375" style="1666" customWidth="1"/>
    <col min="10255" max="10255" width="16.7109375" style="1666" customWidth="1"/>
    <col min="10256" max="10256" width="13.42578125" style="1666" customWidth="1"/>
    <col min="10257" max="10257" width="11.42578125" style="1666"/>
    <col min="10258" max="10258" width="13.7109375" style="1666" customWidth="1"/>
    <col min="10259" max="10260" width="11.42578125" style="1666"/>
    <col min="10261" max="10261" width="17.28515625" style="1666" customWidth="1"/>
    <col min="10262" max="10264" width="11.42578125" style="1666"/>
    <col min="10265" max="10265" width="12.42578125" style="1666" customWidth="1"/>
    <col min="10266" max="10266" width="30.85546875" style="1666" customWidth="1"/>
    <col min="10267" max="10269" width="11.42578125" style="1666"/>
    <col min="10270" max="10270" width="12.85546875" style="1666" customWidth="1"/>
    <col min="10271" max="10272" width="11.42578125" style="1666"/>
    <col min="10273" max="10273" width="19.85546875" style="1666" customWidth="1"/>
    <col min="10274" max="10496" width="11.42578125" style="1666"/>
    <col min="10497" max="10497" width="49.7109375" style="1666" customWidth="1"/>
    <col min="10498" max="10498" width="16.85546875" style="1666" customWidth="1"/>
    <col min="10499" max="10499" width="15" style="1666" customWidth="1"/>
    <col min="10500" max="10500" width="12.28515625" style="1666" customWidth="1"/>
    <col min="10501" max="10501" width="8.42578125" style="1666" customWidth="1"/>
    <col min="10502" max="10502" width="14.42578125" style="1666" customWidth="1"/>
    <col min="10503" max="10503" width="17.42578125" style="1666" customWidth="1"/>
    <col min="10504" max="10504" width="9" style="1666" customWidth="1"/>
    <col min="10505" max="10505" width="12.140625" style="1666" customWidth="1"/>
    <col min="10506" max="10506" width="8.42578125" style="1666" customWidth="1"/>
    <col min="10507" max="10507" width="12" style="1666" customWidth="1"/>
    <col min="10508" max="10508" width="11.42578125" style="1666"/>
    <col min="10509" max="10509" width="11.28515625" style="1666" customWidth="1"/>
    <col min="10510" max="10510" width="13.7109375" style="1666" customWidth="1"/>
    <col min="10511" max="10511" width="16.7109375" style="1666" customWidth="1"/>
    <col min="10512" max="10512" width="13.42578125" style="1666" customWidth="1"/>
    <col min="10513" max="10513" width="11.42578125" style="1666"/>
    <col min="10514" max="10514" width="13.7109375" style="1666" customWidth="1"/>
    <col min="10515" max="10516" width="11.42578125" style="1666"/>
    <col min="10517" max="10517" width="17.28515625" style="1666" customWidth="1"/>
    <col min="10518" max="10520" width="11.42578125" style="1666"/>
    <col min="10521" max="10521" width="12.42578125" style="1666" customWidth="1"/>
    <col min="10522" max="10522" width="30.85546875" style="1666" customWidth="1"/>
    <col min="10523" max="10525" width="11.42578125" style="1666"/>
    <col min="10526" max="10526" width="12.85546875" style="1666" customWidth="1"/>
    <col min="10527" max="10528" width="11.42578125" style="1666"/>
    <col min="10529" max="10529" width="19.85546875" style="1666" customWidth="1"/>
    <col min="10530" max="10752" width="11.42578125" style="1666"/>
    <col min="10753" max="10753" width="49.7109375" style="1666" customWidth="1"/>
    <col min="10754" max="10754" width="16.85546875" style="1666" customWidth="1"/>
    <col min="10755" max="10755" width="15" style="1666" customWidth="1"/>
    <col min="10756" max="10756" width="12.28515625" style="1666" customWidth="1"/>
    <col min="10757" max="10757" width="8.42578125" style="1666" customWidth="1"/>
    <col min="10758" max="10758" width="14.42578125" style="1666" customWidth="1"/>
    <col min="10759" max="10759" width="17.42578125" style="1666" customWidth="1"/>
    <col min="10760" max="10760" width="9" style="1666" customWidth="1"/>
    <col min="10761" max="10761" width="12.140625" style="1666" customWidth="1"/>
    <col min="10762" max="10762" width="8.42578125" style="1666" customWidth="1"/>
    <col min="10763" max="10763" width="12" style="1666" customWidth="1"/>
    <col min="10764" max="10764" width="11.42578125" style="1666"/>
    <col min="10765" max="10765" width="11.28515625" style="1666" customWidth="1"/>
    <col min="10766" max="10766" width="13.7109375" style="1666" customWidth="1"/>
    <col min="10767" max="10767" width="16.7109375" style="1666" customWidth="1"/>
    <col min="10768" max="10768" width="13.42578125" style="1666" customWidth="1"/>
    <col min="10769" max="10769" width="11.42578125" style="1666"/>
    <col min="10770" max="10770" width="13.7109375" style="1666" customWidth="1"/>
    <col min="10771" max="10772" width="11.42578125" style="1666"/>
    <col min="10773" max="10773" width="17.28515625" style="1666" customWidth="1"/>
    <col min="10774" max="10776" width="11.42578125" style="1666"/>
    <col min="10777" max="10777" width="12.42578125" style="1666" customWidth="1"/>
    <col min="10778" max="10778" width="30.85546875" style="1666" customWidth="1"/>
    <col min="10779" max="10781" width="11.42578125" style="1666"/>
    <col min="10782" max="10782" width="12.85546875" style="1666" customWidth="1"/>
    <col min="10783" max="10784" width="11.42578125" style="1666"/>
    <col min="10785" max="10785" width="19.85546875" style="1666" customWidth="1"/>
    <col min="10786" max="11008" width="11.42578125" style="1666"/>
    <col min="11009" max="11009" width="49.7109375" style="1666" customWidth="1"/>
    <col min="11010" max="11010" width="16.85546875" style="1666" customWidth="1"/>
    <col min="11011" max="11011" width="15" style="1666" customWidth="1"/>
    <col min="11012" max="11012" width="12.28515625" style="1666" customWidth="1"/>
    <col min="11013" max="11013" width="8.42578125" style="1666" customWidth="1"/>
    <col min="11014" max="11014" width="14.42578125" style="1666" customWidth="1"/>
    <col min="11015" max="11015" width="17.42578125" style="1666" customWidth="1"/>
    <col min="11016" max="11016" width="9" style="1666" customWidth="1"/>
    <col min="11017" max="11017" width="12.140625" style="1666" customWidth="1"/>
    <col min="11018" max="11018" width="8.42578125" style="1666" customWidth="1"/>
    <col min="11019" max="11019" width="12" style="1666" customWidth="1"/>
    <col min="11020" max="11020" width="11.42578125" style="1666"/>
    <col min="11021" max="11021" width="11.28515625" style="1666" customWidth="1"/>
    <col min="11022" max="11022" width="13.7109375" style="1666" customWidth="1"/>
    <col min="11023" max="11023" width="16.7109375" style="1666" customWidth="1"/>
    <col min="11024" max="11024" width="13.42578125" style="1666" customWidth="1"/>
    <col min="11025" max="11025" width="11.42578125" style="1666"/>
    <col min="11026" max="11026" width="13.7109375" style="1666" customWidth="1"/>
    <col min="11027" max="11028" width="11.42578125" style="1666"/>
    <col min="11029" max="11029" width="17.28515625" style="1666" customWidth="1"/>
    <col min="11030" max="11032" width="11.42578125" style="1666"/>
    <col min="11033" max="11033" width="12.42578125" style="1666" customWidth="1"/>
    <col min="11034" max="11034" width="30.85546875" style="1666" customWidth="1"/>
    <col min="11035" max="11037" width="11.42578125" style="1666"/>
    <col min="11038" max="11038" width="12.85546875" style="1666" customWidth="1"/>
    <col min="11039" max="11040" width="11.42578125" style="1666"/>
    <col min="11041" max="11041" width="19.85546875" style="1666" customWidth="1"/>
    <col min="11042" max="11264" width="11.42578125" style="1666"/>
    <col min="11265" max="11265" width="49.7109375" style="1666" customWidth="1"/>
    <col min="11266" max="11266" width="16.85546875" style="1666" customWidth="1"/>
    <col min="11267" max="11267" width="15" style="1666" customWidth="1"/>
    <col min="11268" max="11268" width="12.28515625" style="1666" customWidth="1"/>
    <col min="11269" max="11269" width="8.42578125" style="1666" customWidth="1"/>
    <col min="11270" max="11270" width="14.42578125" style="1666" customWidth="1"/>
    <col min="11271" max="11271" width="17.42578125" style="1666" customWidth="1"/>
    <col min="11272" max="11272" width="9" style="1666" customWidth="1"/>
    <col min="11273" max="11273" width="12.140625" style="1666" customWidth="1"/>
    <col min="11274" max="11274" width="8.42578125" style="1666" customWidth="1"/>
    <col min="11275" max="11275" width="12" style="1666" customWidth="1"/>
    <col min="11276" max="11276" width="11.42578125" style="1666"/>
    <col min="11277" max="11277" width="11.28515625" style="1666" customWidth="1"/>
    <col min="11278" max="11278" width="13.7109375" style="1666" customWidth="1"/>
    <col min="11279" max="11279" width="16.7109375" style="1666" customWidth="1"/>
    <col min="11280" max="11280" width="13.42578125" style="1666" customWidth="1"/>
    <col min="11281" max="11281" width="11.42578125" style="1666"/>
    <col min="11282" max="11282" width="13.7109375" style="1666" customWidth="1"/>
    <col min="11283" max="11284" width="11.42578125" style="1666"/>
    <col min="11285" max="11285" width="17.28515625" style="1666" customWidth="1"/>
    <col min="11286" max="11288" width="11.42578125" style="1666"/>
    <col min="11289" max="11289" width="12.42578125" style="1666" customWidth="1"/>
    <col min="11290" max="11290" width="30.85546875" style="1666" customWidth="1"/>
    <col min="11291" max="11293" width="11.42578125" style="1666"/>
    <col min="11294" max="11294" width="12.85546875" style="1666" customWidth="1"/>
    <col min="11295" max="11296" width="11.42578125" style="1666"/>
    <col min="11297" max="11297" width="19.85546875" style="1666" customWidth="1"/>
    <col min="11298" max="11520" width="11.42578125" style="1666"/>
    <col min="11521" max="11521" width="49.7109375" style="1666" customWidth="1"/>
    <col min="11522" max="11522" width="16.85546875" style="1666" customWidth="1"/>
    <col min="11523" max="11523" width="15" style="1666" customWidth="1"/>
    <col min="11524" max="11524" width="12.28515625" style="1666" customWidth="1"/>
    <col min="11525" max="11525" width="8.42578125" style="1666" customWidth="1"/>
    <col min="11526" max="11526" width="14.42578125" style="1666" customWidth="1"/>
    <col min="11527" max="11527" width="17.42578125" style="1666" customWidth="1"/>
    <col min="11528" max="11528" width="9" style="1666" customWidth="1"/>
    <col min="11529" max="11529" width="12.140625" style="1666" customWidth="1"/>
    <col min="11530" max="11530" width="8.42578125" style="1666" customWidth="1"/>
    <col min="11531" max="11531" width="12" style="1666" customWidth="1"/>
    <col min="11532" max="11532" width="11.42578125" style="1666"/>
    <col min="11533" max="11533" width="11.28515625" style="1666" customWidth="1"/>
    <col min="11534" max="11534" width="13.7109375" style="1666" customWidth="1"/>
    <col min="11535" max="11535" width="16.7109375" style="1666" customWidth="1"/>
    <col min="11536" max="11536" width="13.42578125" style="1666" customWidth="1"/>
    <col min="11537" max="11537" width="11.42578125" style="1666"/>
    <col min="11538" max="11538" width="13.7109375" style="1666" customWidth="1"/>
    <col min="11539" max="11540" width="11.42578125" style="1666"/>
    <col min="11541" max="11541" width="17.28515625" style="1666" customWidth="1"/>
    <col min="11542" max="11544" width="11.42578125" style="1666"/>
    <col min="11545" max="11545" width="12.42578125" style="1666" customWidth="1"/>
    <col min="11546" max="11546" width="30.85546875" style="1666" customWidth="1"/>
    <col min="11547" max="11549" width="11.42578125" style="1666"/>
    <col min="11550" max="11550" width="12.85546875" style="1666" customWidth="1"/>
    <col min="11551" max="11552" width="11.42578125" style="1666"/>
    <col min="11553" max="11553" width="19.85546875" style="1666" customWidth="1"/>
    <col min="11554" max="11776" width="11.42578125" style="1666"/>
    <col min="11777" max="11777" width="49.7109375" style="1666" customWidth="1"/>
    <col min="11778" max="11778" width="16.85546875" style="1666" customWidth="1"/>
    <col min="11779" max="11779" width="15" style="1666" customWidth="1"/>
    <col min="11780" max="11780" width="12.28515625" style="1666" customWidth="1"/>
    <col min="11781" max="11781" width="8.42578125" style="1666" customWidth="1"/>
    <col min="11782" max="11782" width="14.42578125" style="1666" customWidth="1"/>
    <col min="11783" max="11783" width="17.42578125" style="1666" customWidth="1"/>
    <col min="11784" max="11784" width="9" style="1666" customWidth="1"/>
    <col min="11785" max="11785" width="12.140625" style="1666" customWidth="1"/>
    <col min="11786" max="11786" width="8.42578125" style="1666" customWidth="1"/>
    <col min="11787" max="11787" width="12" style="1666" customWidth="1"/>
    <col min="11788" max="11788" width="11.42578125" style="1666"/>
    <col min="11789" max="11789" width="11.28515625" style="1666" customWidth="1"/>
    <col min="11790" max="11790" width="13.7109375" style="1666" customWidth="1"/>
    <col min="11791" max="11791" width="16.7109375" style="1666" customWidth="1"/>
    <col min="11792" max="11792" width="13.42578125" style="1666" customWidth="1"/>
    <col min="11793" max="11793" width="11.42578125" style="1666"/>
    <col min="11794" max="11794" width="13.7109375" style="1666" customWidth="1"/>
    <col min="11795" max="11796" width="11.42578125" style="1666"/>
    <col min="11797" max="11797" width="17.28515625" style="1666" customWidth="1"/>
    <col min="11798" max="11800" width="11.42578125" style="1666"/>
    <col min="11801" max="11801" width="12.42578125" style="1666" customWidth="1"/>
    <col min="11802" max="11802" width="30.85546875" style="1666" customWidth="1"/>
    <col min="11803" max="11805" width="11.42578125" style="1666"/>
    <col min="11806" max="11806" width="12.85546875" style="1666" customWidth="1"/>
    <col min="11807" max="11808" width="11.42578125" style="1666"/>
    <col min="11809" max="11809" width="19.85546875" style="1666" customWidth="1"/>
    <col min="11810" max="12032" width="11.42578125" style="1666"/>
    <col min="12033" max="12033" width="49.7109375" style="1666" customWidth="1"/>
    <col min="12034" max="12034" width="16.85546875" style="1666" customWidth="1"/>
    <col min="12035" max="12035" width="15" style="1666" customWidth="1"/>
    <col min="12036" max="12036" width="12.28515625" style="1666" customWidth="1"/>
    <col min="12037" max="12037" width="8.42578125" style="1666" customWidth="1"/>
    <col min="12038" max="12038" width="14.42578125" style="1666" customWidth="1"/>
    <col min="12039" max="12039" width="17.42578125" style="1666" customWidth="1"/>
    <col min="12040" max="12040" width="9" style="1666" customWidth="1"/>
    <col min="12041" max="12041" width="12.140625" style="1666" customWidth="1"/>
    <col min="12042" max="12042" width="8.42578125" style="1666" customWidth="1"/>
    <col min="12043" max="12043" width="12" style="1666" customWidth="1"/>
    <col min="12044" max="12044" width="11.42578125" style="1666"/>
    <col min="12045" max="12045" width="11.28515625" style="1666" customWidth="1"/>
    <col min="12046" max="12046" width="13.7109375" style="1666" customWidth="1"/>
    <col min="12047" max="12047" width="16.7109375" style="1666" customWidth="1"/>
    <col min="12048" max="12048" width="13.42578125" style="1666" customWidth="1"/>
    <col min="12049" max="12049" width="11.42578125" style="1666"/>
    <col min="12050" max="12050" width="13.7109375" style="1666" customWidth="1"/>
    <col min="12051" max="12052" width="11.42578125" style="1666"/>
    <col min="12053" max="12053" width="17.28515625" style="1666" customWidth="1"/>
    <col min="12054" max="12056" width="11.42578125" style="1666"/>
    <col min="12057" max="12057" width="12.42578125" style="1666" customWidth="1"/>
    <col min="12058" max="12058" width="30.85546875" style="1666" customWidth="1"/>
    <col min="12059" max="12061" width="11.42578125" style="1666"/>
    <col min="12062" max="12062" width="12.85546875" style="1666" customWidth="1"/>
    <col min="12063" max="12064" width="11.42578125" style="1666"/>
    <col min="12065" max="12065" width="19.85546875" style="1666" customWidth="1"/>
    <col min="12066" max="12288" width="11.42578125" style="1666"/>
    <col min="12289" max="12289" width="49.7109375" style="1666" customWidth="1"/>
    <col min="12290" max="12290" width="16.85546875" style="1666" customWidth="1"/>
    <col min="12291" max="12291" width="15" style="1666" customWidth="1"/>
    <col min="12292" max="12292" width="12.28515625" style="1666" customWidth="1"/>
    <col min="12293" max="12293" width="8.42578125" style="1666" customWidth="1"/>
    <col min="12294" max="12294" width="14.42578125" style="1666" customWidth="1"/>
    <col min="12295" max="12295" width="17.42578125" style="1666" customWidth="1"/>
    <col min="12296" max="12296" width="9" style="1666" customWidth="1"/>
    <col min="12297" max="12297" width="12.140625" style="1666" customWidth="1"/>
    <col min="12298" max="12298" width="8.42578125" style="1666" customWidth="1"/>
    <col min="12299" max="12299" width="12" style="1666" customWidth="1"/>
    <col min="12300" max="12300" width="11.42578125" style="1666"/>
    <col min="12301" max="12301" width="11.28515625" style="1666" customWidth="1"/>
    <col min="12302" max="12302" width="13.7109375" style="1666" customWidth="1"/>
    <col min="12303" max="12303" width="16.7109375" style="1666" customWidth="1"/>
    <col min="12304" max="12304" width="13.42578125" style="1666" customWidth="1"/>
    <col min="12305" max="12305" width="11.42578125" style="1666"/>
    <col min="12306" max="12306" width="13.7109375" style="1666" customWidth="1"/>
    <col min="12307" max="12308" width="11.42578125" style="1666"/>
    <col min="12309" max="12309" width="17.28515625" style="1666" customWidth="1"/>
    <col min="12310" max="12312" width="11.42578125" style="1666"/>
    <col min="12313" max="12313" width="12.42578125" style="1666" customWidth="1"/>
    <col min="12314" max="12314" width="30.85546875" style="1666" customWidth="1"/>
    <col min="12315" max="12317" width="11.42578125" style="1666"/>
    <col min="12318" max="12318" width="12.85546875" style="1666" customWidth="1"/>
    <col min="12319" max="12320" width="11.42578125" style="1666"/>
    <col min="12321" max="12321" width="19.85546875" style="1666" customWidth="1"/>
    <col min="12322" max="12544" width="11.42578125" style="1666"/>
    <col min="12545" max="12545" width="49.7109375" style="1666" customWidth="1"/>
    <col min="12546" max="12546" width="16.85546875" style="1666" customWidth="1"/>
    <col min="12547" max="12547" width="15" style="1666" customWidth="1"/>
    <col min="12548" max="12548" width="12.28515625" style="1666" customWidth="1"/>
    <col min="12549" max="12549" width="8.42578125" style="1666" customWidth="1"/>
    <col min="12550" max="12550" width="14.42578125" style="1666" customWidth="1"/>
    <col min="12551" max="12551" width="17.42578125" style="1666" customWidth="1"/>
    <col min="12552" max="12552" width="9" style="1666" customWidth="1"/>
    <col min="12553" max="12553" width="12.140625" style="1666" customWidth="1"/>
    <col min="12554" max="12554" width="8.42578125" style="1666" customWidth="1"/>
    <col min="12555" max="12555" width="12" style="1666" customWidth="1"/>
    <col min="12556" max="12556" width="11.42578125" style="1666"/>
    <col min="12557" max="12557" width="11.28515625" style="1666" customWidth="1"/>
    <col min="12558" max="12558" width="13.7109375" style="1666" customWidth="1"/>
    <col min="12559" max="12559" width="16.7109375" style="1666" customWidth="1"/>
    <col min="12560" max="12560" width="13.42578125" style="1666" customWidth="1"/>
    <col min="12561" max="12561" width="11.42578125" style="1666"/>
    <col min="12562" max="12562" width="13.7109375" style="1666" customWidth="1"/>
    <col min="12563" max="12564" width="11.42578125" style="1666"/>
    <col min="12565" max="12565" width="17.28515625" style="1666" customWidth="1"/>
    <col min="12566" max="12568" width="11.42578125" style="1666"/>
    <col min="12569" max="12569" width="12.42578125" style="1666" customWidth="1"/>
    <col min="12570" max="12570" width="30.85546875" style="1666" customWidth="1"/>
    <col min="12571" max="12573" width="11.42578125" style="1666"/>
    <col min="12574" max="12574" width="12.85546875" style="1666" customWidth="1"/>
    <col min="12575" max="12576" width="11.42578125" style="1666"/>
    <col min="12577" max="12577" width="19.85546875" style="1666" customWidth="1"/>
    <col min="12578" max="12800" width="11.42578125" style="1666"/>
    <col min="12801" max="12801" width="49.7109375" style="1666" customWidth="1"/>
    <col min="12802" max="12802" width="16.85546875" style="1666" customWidth="1"/>
    <col min="12803" max="12803" width="15" style="1666" customWidth="1"/>
    <col min="12804" max="12804" width="12.28515625" style="1666" customWidth="1"/>
    <col min="12805" max="12805" width="8.42578125" style="1666" customWidth="1"/>
    <col min="12806" max="12806" width="14.42578125" style="1666" customWidth="1"/>
    <col min="12807" max="12807" width="17.42578125" style="1666" customWidth="1"/>
    <col min="12808" max="12808" width="9" style="1666" customWidth="1"/>
    <col min="12809" max="12809" width="12.140625" style="1666" customWidth="1"/>
    <col min="12810" max="12810" width="8.42578125" style="1666" customWidth="1"/>
    <col min="12811" max="12811" width="12" style="1666" customWidth="1"/>
    <col min="12812" max="12812" width="11.42578125" style="1666"/>
    <col min="12813" max="12813" width="11.28515625" style="1666" customWidth="1"/>
    <col min="12814" max="12814" width="13.7109375" style="1666" customWidth="1"/>
    <col min="12815" max="12815" width="16.7109375" style="1666" customWidth="1"/>
    <col min="12816" max="12816" width="13.42578125" style="1666" customWidth="1"/>
    <col min="12817" max="12817" width="11.42578125" style="1666"/>
    <col min="12818" max="12818" width="13.7109375" style="1666" customWidth="1"/>
    <col min="12819" max="12820" width="11.42578125" style="1666"/>
    <col min="12821" max="12821" width="17.28515625" style="1666" customWidth="1"/>
    <col min="12822" max="12824" width="11.42578125" style="1666"/>
    <col min="12825" max="12825" width="12.42578125" style="1666" customWidth="1"/>
    <col min="12826" max="12826" width="30.85546875" style="1666" customWidth="1"/>
    <col min="12827" max="12829" width="11.42578125" style="1666"/>
    <col min="12830" max="12830" width="12.85546875" style="1666" customWidth="1"/>
    <col min="12831" max="12832" width="11.42578125" style="1666"/>
    <col min="12833" max="12833" width="19.85546875" style="1666" customWidth="1"/>
    <col min="12834" max="13056" width="11.42578125" style="1666"/>
    <col min="13057" max="13057" width="49.7109375" style="1666" customWidth="1"/>
    <col min="13058" max="13058" width="16.85546875" style="1666" customWidth="1"/>
    <col min="13059" max="13059" width="15" style="1666" customWidth="1"/>
    <col min="13060" max="13060" width="12.28515625" style="1666" customWidth="1"/>
    <col min="13061" max="13061" width="8.42578125" style="1666" customWidth="1"/>
    <col min="13062" max="13062" width="14.42578125" style="1666" customWidth="1"/>
    <col min="13063" max="13063" width="17.42578125" style="1666" customWidth="1"/>
    <col min="13064" max="13064" width="9" style="1666" customWidth="1"/>
    <col min="13065" max="13065" width="12.140625" style="1666" customWidth="1"/>
    <col min="13066" max="13066" width="8.42578125" style="1666" customWidth="1"/>
    <col min="13067" max="13067" width="12" style="1666" customWidth="1"/>
    <col min="13068" max="13068" width="11.42578125" style="1666"/>
    <col min="13069" max="13069" width="11.28515625" style="1666" customWidth="1"/>
    <col min="13070" max="13070" width="13.7109375" style="1666" customWidth="1"/>
    <col min="13071" max="13071" width="16.7109375" style="1666" customWidth="1"/>
    <col min="13072" max="13072" width="13.42578125" style="1666" customWidth="1"/>
    <col min="13073" max="13073" width="11.42578125" style="1666"/>
    <col min="13074" max="13074" width="13.7109375" style="1666" customWidth="1"/>
    <col min="13075" max="13076" width="11.42578125" style="1666"/>
    <col min="13077" max="13077" width="17.28515625" style="1666" customWidth="1"/>
    <col min="13078" max="13080" width="11.42578125" style="1666"/>
    <col min="13081" max="13081" width="12.42578125" style="1666" customWidth="1"/>
    <col min="13082" max="13082" width="30.85546875" style="1666" customWidth="1"/>
    <col min="13083" max="13085" width="11.42578125" style="1666"/>
    <col min="13086" max="13086" width="12.85546875" style="1666" customWidth="1"/>
    <col min="13087" max="13088" width="11.42578125" style="1666"/>
    <col min="13089" max="13089" width="19.85546875" style="1666" customWidth="1"/>
    <col min="13090" max="13312" width="11.42578125" style="1666"/>
    <col min="13313" max="13313" width="49.7109375" style="1666" customWidth="1"/>
    <col min="13314" max="13314" width="16.85546875" style="1666" customWidth="1"/>
    <col min="13315" max="13315" width="15" style="1666" customWidth="1"/>
    <col min="13316" max="13316" width="12.28515625" style="1666" customWidth="1"/>
    <col min="13317" max="13317" width="8.42578125" style="1666" customWidth="1"/>
    <col min="13318" max="13318" width="14.42578125" style="1666" customWidth="1"/>
    <col min="13319" max="13319" width="17.42578125" style="1666" customWidth="1"/>
    <col min="13320" max="13320" width="9" style="1666" customWidth="1"/>
    <col min="13321" max="13321" width="12.140625" style="1666" customWidth="1"/>
    <col min="13322" max="13322" width="8.42578125" style="1666" customWidth="1"/>
    <col min="13323" max="13323" width="12" style="1666" customWidth="1"/>
    <col min="13324" max="13324" width="11.42578125" style="1666"/>
    <col min="13325" max="13325" width="11.28515625" style="1666" customWidth="1"/>
    <col min="13326" max="13326" width="13.7109375" style="1666" customWidth="1"/>
    <col min="13327" max="13327" width="16.7109375" style="1666" customWidth="1"/>
    <col min="13328" max="13328" width="13.42578125" style="1666" customWidth="1"/>
    <col min="13329" max="13329" width="11.42578125" style="1666"/>
    <col min="13330" max="13330" width="13.7109375" style="1666" customWidth="1"/>
    <col min="13331" max="13332" width="11.42578125" style="1666"/>
    <col min="13333" max="13333" width="17.28515625" style="1666" customWidth="1"/>
    <col min="13334" max="13336" width="11.42578125" style="1666"/>
    <col min="13337" max="13337" width="12.42578125" style="1666" customWidth="1"/>
    <col min="13338" max="13338" width="30.85546875" style="1666" customWidth="1"/>
    <col min="13339" max="13341" width="11.42578125" style="1666"/>
    <col min="13342" max="13342" width="12.85546875" style="1666" customWidth="1"/>
    <col min="13343" max="13344" width="11.42578125" style="1666"/>
    <col min="13345" max="13345" width="19.85546875" style="1666" customWidth="1"/>
    <col min="13346" max="13568" width="11.42578125" style="1666"/>
    <col min="13569" max="13569" width="49.7109375" style="1666" customWidth="1"/>
    <col min="13570" max="13570" width="16.85546875" style="1666" customWidth="1"/>
    <col min="13571" max="13571" width="15" style="1666" customWidth="1"/>
    <col min="13572" max="13572" width="12.28515625" style="1666" customWidth="1"/>
    <col min="13573" max="13573" width="8.42578125" style="1666" customWidth="1"/>
    <col min="13574" max="13574" width="14.42578125" style="1666" customWidth="1"/>
    <col min="13575" max="13575" width="17.42578125" style="1666" customWidth="1"/>
    <col min="13576" max="13576" width="9" style="1666" customWidth="1"/>
    <col min="13577" max="13577" width="12.140625" style="1666" customWidth="1"/>
    <col min="13578" max="13578" width="8.42578125" style="1666" customWidth="1"/>
    <col min="13579" max="13579" width="12" style="1666" customWidth="1"/>
    <col min="13580" max="13580" width="11.42578125" style="1666"/>
    <col min="13581" max="13581" width="11.28515625" style="1666" customWidth="1"/>
    <col min="13582" max="13582" width="13.7109375" style="1666" customWidth="1"/>
    <col min="13583" max="13583" width="16.7109375" style="1666" customWidth="1"/>
    <col min="13584" max="13584" width="13.42578125" style="1666" customWidth="1"/>
    <col min="13585" max="13585" width="11.42578125" style="1666"/>
    <col min="13586" max="13586" width="13.7109375" style="1666" customWidth="1"/>
    <col min="13587" max="13588" width="11.42578125" style="1666"/>
    <col min="13589" max="13589" width="17.28515625" style="1666" customWidth="1"/>
    <col min="13590" max="13592" width="11.42578125" style="1666"/>
    <col min="13593" max="13593" width="12.42578125" style="1666" customWidth="1"/>
    <col min="13594" max="13594" width="30.85546875" style="1666" customWidth="1"/>
    <col min="13595" max="13597" width="11.42578125" style="1666"/>
    <col min="13598" max="13598" width="12.85546875" style="1666" customWidth="1"/>
    <col min="13599" max="13600" width="11.42578125" style="1666"/>
    <col min="13601" max="13601" width="19.85546875" style="1666" customWidth="1"/>
    <col min="13602" max="13824" width="11.42578125" style="1666"/>
    <col min="13825" max="13825" width="49.7109375" style="1666" customWidth="1"/>
    <col min="13826" max="13826" width="16.85546875" style="1666" customWidth="1"/>
    <col min="13827" max="13827" width="15" style="1666" customWidth="1"/>
    <col min="13828" max="13828" width="12.28515625" style="1666" customWidth="1"/>
    <col min="13829" max="13829" width="8.42578125" style="1666" customWidth="1"/>
    <col min="13830" max="13830" width="14.42578125" style="1666" customWidth="1"/>
    <col min="13831" max="13831" width="17.42578125" style="1666" customWidth="1"/>
    <col min="13832" max="13832" width="9" style="1666" customWidth="1"/>
    <col min="13833" max="13833" width="12.140625" style="1666" customWidth="1"/>
    <col min="13834" max="13834" width="8.42578125" style="1666" customWidth="1"/>
    <col min="13835" max="13835" width="12" style="1666" customWidth="1"/>
    <col min="13836" max="13836" width="11.42578125" style="1666"/>
    <col min="13837" max="13837" width="11.28515625" style="1666" customWidth="1"/>
    <col min="13838" max="13838" width="13.7109375" style="1666" customWidth="1"/>
    <col min="13839" max="13839" width="16.7109375" style="1666" customWidth="1"/>
    <col min="13840" max="13840" width="13.42578125" style="1666" customWidth="1"/>
    <col min="13841" max="13841" width="11.42578125" style="1666"/>
    <col min="13842" max="13842" width="13.7109375" style="1666" customWidth="1"/>
    <col min="13843" max="13844" width="11.42578125" style="1666"/>
    <col min="13845" max="13845" width="17.28515625" style="1666" customWidth="1"/>
    <col min="13846" max="13848" width="11.42578125" style="1666"/>
    <col min="13849" max="13849" width="12.42578125" style="1666" customWidth="1"/>
    <col min="13850" max="13850" width="30.85546875" style="1666" customWidth="1"/>
    <col min="13851" max="13853" width="11.42578125" style="1666"/>
    <col min="13854" max="13854" width="12.85546875" style="1666" customWidth="1"/>
    <col min="13855" max="13856" width="11.42578125" style="1666"/>
    <col min="13857" max="13857" width="19.85546875" style="1666" customWidth="1"/>
    <col min="13858" max="14080" width="11.42578125" style="1666"/>
    <col min="14081" max="14081" width="49.7109375" style="1666" customWidth="1"/>
    <col min="14082" max="14082" width="16.85546875" style="1666" customWidth="1"/>
    <col min="14083" max="14083" width="15" style="1666" customWidth="1"/>
    <col min="14084" max="14084" width="12.28515625" style="1666" customWidth="1"/>
    <col min="14085" max="14085" width="8.42578125" style="1666" customWidth="1"/>
    <col min="14086" max="14086" width="14.42578125" style="1666" customWidth="1"/>
    <col min="14087" max="14087" width="17.42578125" style="1666" customWidth="1"/>
    <col min="14088" max="14088" width="9" style="1666" customWidth="1"/>
    <col min="14089" max="14089" width="12.140625" style="1666" customWidth="1"/>
    <col min="14090" max="14090" width="8.42578125" style="1666" customWidth="1"/>
    <col min="14091" max="14091" width="12" style="1666" customWidth="1"/>
    <col min="14092" max="14092" width="11.42578125" style="1666"/>
    <col min="14093" max="14093" width="11.28515625" style="1666" customWidth="1"/>
    <col min="14094" max="14094" width="13.7109375" style="1666" customWidth="1"/>
    <col min="14095" max="14095" width="16.7109375" style="1666" customWidth="1"/>
    <col min="14096" max="14096" width="13.42578125" style="1666" customWidth="1"/>
    <col min="14097" max="14097" width="11.42578125" style="1666"/>
    <col min="14098" max="14098" width="13.7109375" style="1666" customWidth="1"/>
    <col min="14099" max="14100" width="11.42578125" style="1666"/>
    <col min="14101" max="14101" width="17.28515625" style="1666" customWidth="1"/>
    <col min="14102" max="14104" width="11.42578125" style="1666"/>
    <col min="14105" max="14105" width="12.42578125" style="1666" customWidth="1"/>
    <col min="14106" max="14106" width="30.85546875" style="1666" customWidth="1"/>
    <col min="14107" max="14109" width="11.42578125" style="1666"/>
    <col min="14110" max="14110" width="12.85546875" style="1666" customWidth="1"/>
    <col min="14111" max="14112" width="11.42578125" style="1666"/>
    <col min="14113" max="14113" width="19.85546875" style="1666" customWidth="1"/>
    <col min="14114" max="14336" width="11.42578125" style="1666"/>
    <col min="14337" max="14337" width="49.7109375" style="1666" customWidth="1"/>
    <col min="14338" max="14338" width="16.85546875" style="1666" customWidth="1"/>
    <col min="14339" max="14339" width="15" style="1666" customWidth="1"/>
    <col min="14340" max="14340" width="12.28515625" style="1666" customWidth="1"/>
    <col min="14341" max="14341" width="8.42578125" style="1666" customWidth="1"/>
    <col min="14342" max="14342" width="14.42578125" style="1666" customWidth="1"/>
    <col min="14343" max="14343" width="17.42578125" style="1666" customWidth="1"/>
    <col min="14344" max="14344" width="9" style="1666" customWidth="1"/>
    <col min="14345" max="14345" width="12.140625" style="1666" customWidth="1"/>
    <col min="14346" max="14346" width="8.42578125" style="1666" customWidth="1"/>
    <col min="14347" max="14347" width="12" style="1666" customWidth="1"/>
    <col min="14348" max="14348" width="11.42578125" style="1666"/>
    <col min="14349" max="14349" width="11.28515625" style="1666" customWidth="1"/>
    <col min="14350" max="14350" width="13.7109375" style="1666" customWidth="1"/>
    <col min="14351" max="14351" width="16.7109375" style="1666" customWidth="1"/>
    <col min="14352" max="14352" width="13.42578125" style="1666" customWidth="1"/>
    <col min="14353" max="14353" width="11.42578125" style="1666"/>
    <col min="14354" max="14354" width="13.7109375" style="1666" customWidth="1"/>
    <col min="14355" max="14356" width="11.42578125" style="1666"/>
    <col min="14357" max="14357" width="17.28515625" style="1666" customWidth="1"/>
    <col min="14358" max="14360" width="11.42578125" style="1666"/>
    <col min="14361" max="14361" width="12.42578125" style="1666" customWidth="1"/>
    <col min="14362" max="14362" width="30.85546875" style="1666" customWidth="1"/>
    <col min="14363" max="14365" width="11.42578125" style="1666"/>
    <col min="14366" max="14366" width="12.85546875" style="1666" customWidth="1"/>
    <col min="14367" max="14368" width="11.42578125" style="1666"/>
    <col min="14369" max="14369" width="19.85546875" style="1666" customWidth="1"/>
    <col min="14370" max="14592" width="11.42578125" style="1666"/>
    <col min="14593" max="14593" width="49.7109375" style="1666" customWidth="1"/>
    <col min="14594" max="14594" width="16.85546875" style="1666" customWidth="1"/>
    <col min="14595" max="14595" width="15" style="1666" customWidth="1"/>
    <col min="14596" max="14596" width="12.28515625" style="1666" customWidth="1"/>
    <col min="14597" max="14597" width="8.42578125" style="1666" customWidth="1"/>
    <col min="14598" max="14598" width="14.42578125" style="1666" customWidth="1"/>
    <col min="14599" max="14599" width="17.42578125" style="1666" customWidth="1"/>
    <col min="14600" max="14600" width="9" style="1666" customWidth="1"/>
    <col min="14601" max="14601" width="12.140625" style="1666" customWidth="1"/>
    <col min="14602" max="14602" width="8.42578125" style="1666" customWidth="1"/>
    <col min="14603" max="14603" width="12" style="1666" customWidth="1"/>
    <col min="14604" max="14604" width="11.42578125" style="1666"/>
    <col min="14605" max="14605" width="11.28515625" style="1666" customWidth="1"/>
    <col min="14606" max="14606" width="13.7109375" style="1666" customWidth="1"/>
    <col min="14607" max="14607" width="16.7109375" style="1666" customWidth="1"/>
    <col min="14608" max="14608" width="13.42578125" style="1666" customWidth="1"/>
    <col min="14609" max="14609" width="11.42578125" style="1666"/>
    <col min="14610" max="14610" width="13.7109375" style="1666" customWidth="1"/>
    <col min="14611" max="14612" width="11.42578125" style="1666"/>
    <col min="14613" max="14613" width="17.28515625" style="1666" customWidth="1"/>
    <col min="14614" max="14616" width="11.42578125" style="1666"/>
    <col min="14617" max="14617" width="12.42578125" style="1666" customWidth="1"/>
    <col min="14618" max="14618" width="30.85546875" style="1666" customWidth="1"/>
    <col min="14619" max="14621" width="11.42578125" style="1666"/>
    <col min="14622" max="14622" width="12.85546875" style="1666" customWidth="1"/>
    <col min="14623" max="14624" width="11.42578125" style="1666"/>
    <col min="14625" max="14625" width="19.85546875" style="1666" customWidth="1"/>
    <col min="14626" max="14848" width="11.42578125" style="1666"/>
    <col min="14849" max="14849" width="49.7109375" style="1666" customWidth="1"/>
    <col min="14850" max="14850" width="16.85546875" style="1666" customWidth="1"/>
    <col min="14851" max="14851" width="15" style="1666" customWidth="1"/>
    <col min="14852" max="14852" width="12.28515625" style="1666" customWidth="1"/>
    <col min="14853" max="14853" width="8.42578125" style="1666" customWidth="1"/>
    <col min="14854" max="14854" width="14.42578125" style="1666" customWidth="1"/>
    <col min="14855" max="14855" width="17.42578125" style="1666" customWidth="1"/>
    <col min="14856" max="14856" width="9" style="1666" customWidth="1"/>
    <col min="14857" max="14857" width="12.140625" style="1666" customWidth="1"/>
    <col min="14858" max="14858" width="8.42578125" style="1666" customWidth="1"/>
    <col min="14859" max="14859" width="12" style="1666" customWidth="1"/>
    <col min="14860" max="14860" width="11.42578125" style="1666"/>
    <col min="14861" max="14861" width="11.28515625" style="1666" customWidth="1"/>
    <col min="14862" max="14862" width="13.7109375" style="1666" customWidth="1"/>
    <col min="14863" max="14863" width="16.7109375" style="1666" customWidth="1"/>
    <col min="14864" max="14864" width="13.42578125" style="1666" customWidth="1"/>
    <col min="14865" max="14865" width="11.42578125" style="1666"/>
    <col min="14866" max="14866" width="13.7109375" style="1666" customWidth="1"/>
    <col min="14867" max="14868" width="11.42578125" style="1666"/>
    <col min="14869" max="14869" width="17.28515625" style="1666" customWidth="1"/>
    <col min="14870" max="14872" width="11.42578125" style="1666"/>
    <col min="14873" max="14873" width="12.42578125" style="1666" customWidth="1"/>
    <col min="14874" max="14874" width="30.85546875" style="1666" customWidth="1"/>
    <col min="14875" max="14877" width="11.42578125" style="1666"/>
    <col min="14878" max="14878" width="12.85546875" style="1666" customWidth="1"/>
    <col min="14879" max="14880" width="11.42578125" style="1666"/>
    <col min="14881" max="14881" width="19.85546875" style="1666" customWidth="1"/>
    <col min="14882" max="15104" width="11.42578125" style="1666"/>
    <col min="15105" max="15105" width="49.7109375" style="1666" customWidth="1"/>
    <col min="15106" max="15106" width="16.85546875" style="1666" customWidth="1"/>
    <col min="15107" max="15107" width="15" style="1666" customWidth="1"/>
    <col min="15108" max="15108" width="12.28515625" style="1666" customWidth="1"/>
    <col min="15109" max="15109" width="8.42578125" style="1666" customWidth="1"/>
    <col min="15110" max="15110" width="14.42578125" style="1666" customWidth="1"/>
    <col min="15111" max="15111" width="17.42578125" style="1666" customWidth="1"/>
    <col min="15112" max="15112" width="9" style="1666" customWidth="1"/>
    <col min="15113" max="15113" width="12.140625" style="1666" customWidth="1"/>
    <col min="15114" max="15114" width="8.42578125" style="1666" customWidth="1"/>
    <col min="15115" max="15115" width="12" style="1666" customWidth="1"/>
    <col min="15116" max="15116" width="11.42578125" style="1666"/>
    <col min="15117" max="15117" width="11.28515625" style="1666" customWidth="1"/>
    <col min="15118" max="15118" width="13.7109375" style="1666" customWidth="1"/>
    <col min="15119" max="15119" width="16.7109375" style="1666" customWidth="1"/>
    <col min="15120" max="15120" width="13.42578125" style="1666" customWidth="1"/>
    <col min="15121" max="15121" width="11.42578125" style="1666"/>
    <col min="15122" max="15122" width="13.7109375" style="1666" customWidth="1"/>
    <col min="15123" max="15124" width="11.42578125" style="1666"/>
    <col min="15125" max="15125" width="17.28515625" style="1666" customWidth="1"/>
    <col min="15126" max="15128" width="11.42578125" style="1666"/>
    <col min="15129" max="15129" width="12.42578125" style="1666" customWidth="1"/>
    <col min="15130" max="15130" width="30.85546875" style="1666" customWidth="1"/>
    <col min="15131" max="15133" width="11.42578125" style="1666"/>
    <col min="15134" max="15134" width="12.85546875" style="1666" customWidth="1"/>
    <col min="15135" max="15136" width="11.42578125" style="1666"/>
    <col min="15137" max="15137" width="19.85546875" style="1666" customWidth="1"/>
    <col min="15138" max="15360" width="11.42578125" style="1666"/>
    <col min="15361" max="15361" width="49.7109375" style="1666" customWidth="1"/>
    <col min="15362" max="15362" width="16.85546875" style="1666" customWidth="1"/>
    <col min="15363" max="15363" width="15" style="1666" customWidth="1"/>
    <col min="15364" max="15364" width="12.28515625" style="1666" customWidth="1"/>
    <col min="15365" max="15365" width="8.42578125" style="1666" customWidth="1"/>
    <col min="15366" max="15366" width="14.42578125" style="1666" customWidth="1"/>
    <col min="15367" max="15367" width="17.42578125" style="1666" customWidth="1"/>
    <col min="15368" max="15368" width="9" style="1666" customWidth="1"/>
    <col min="15369" max="15369" width="12.140625" style="1666" customWidth="1"/>
    <col min="15370" max="15370" width="8.42578125" style="1666" customWidth="1"/>
    <col min="15371" max="15371" width="12" style="1666" customWidth="1"/>
    <col min="15372" max="15372" width="11.42578125" style="1666"/>
    <col min="15373" max="15373" width="11.28515625" style="1666" customWidth="1"/>
    <col min="15374" max="15374" width="13.7109375" style="1666" customWidth="1"/>
    <col min="15375" max="15375" width="16.7109375" style="1666" customWidth="1"/>
    <col min="15376" max="15376" width="13.42578125" style="1666" customWidth="1"/>
    <col min="15377" max="15377" width="11.42578125" style="1666"/>
    <col min="15378" max="15378" width="13.7109375" style="1666" customWidth="1"/>
    <col min="15379" max="15380" width="11.42578125" style="1666"/>
    <col min="15381" max="15381" width="17.28515625" style="1666" customWidth="1"/>
    <col min="15382" max="15384" width="11.42578125" style="1666"/>
    <col min="15385" max="15385" width="12.42578125" style="1666" customWidth="1"/>
    <col min="15386" max="15386" width="30.85546875" style="1666" customWidth="1"/>
    <col min="15387" max="15389" width="11.42578125" style="1666"/>
    <col min="15390" max="15390" width="12.85546875" style="1666" customWidth="1"/>
    <col min="15391" max="15392" width="11.42578125" style="1666"/>
    <col min="15393" max="15393" width="19.85546875" style="1666" customWidth="1"/>
    <col min="15394" max="15616" width="11.42578125" style="1666"/>
    <col min="15617" max="15617" width="49.7109375" style="1666" customWidth="1"/>
    <col min="15618" max="15618" width="16.85546875" style="1666" customWidth="1"/>
    <col min="15619" max="15619" width="15" style="1666" customWidth="1"/>
    <col min="15620" max="15620" width="12.28515625" style="1666" customWidth="1"/>
    <col min="15621" max="15621" width="8.42578125" style="1666" customWidth="1"/>
    <col min="15622" max="15622" width="14.42578125" style="1666" customWidth="1"/>
    <col min="15623" max="15623" width="17.42578125" style="1666" customWidth="1"/>
    <col min="15624" max="15624" width="9" style="1666" customWidth="1"/>
    <col min="15625" max="15625" width="12.140625" style="1666" customWidth="1"/>
    <col min="15626" max="15626" width="8.42578125" style="1666" customWidth="1"/>
    <col min="15627" max="15627" width="12" style="1666" customWidth="1"/>
    <col min="15628" max="15628" width="11.42578125" style="1666"/>
    <col min="15629" max="15629" width="11.28515625" style="1666" customWidth="1"/>
    <col min="15630" max="15630" width="13.7109375" style="1666" customWidth="1"/>
    <col min="15631" max="15631" width="16.7109375" style="1666" customWidth="1"/>
    <col min="15632" max="15632" width="13.42578125" style="1666" customWidth="1"/>
    <col min="15633" max="15633" width="11.42578125" style="1666"/>
    <col min="15634" max="15634" width="13.7109375" style="1666" customWidth="1"/>
    <col min="15635" max="15636" width="11.42578125" style="1666"/>
    <col min="15637" max="15637" width="17.28515625" style="1666" customWidth="1"/>
    <col min="15638" max="15640" width="11.42578125" style="1666"/>
    <col min="15641" max="15641" width="12.42578125" style="1666" customWidth="1"/>
    <col min="15642" max="15642" width="30.85546875" style="1666" customWidth="1"/>
    <col min="15643" max="15645" width="11.42578125" style="1666"/>
    <col min="15646" max="15646" width="12.85546875" style="1666" customWidth="1"/>
    <col min="15647" max="15648" width="11.42578125" style="1666"/>
    <col min="15649" max="15649" width="19.85546875" style="1666" customWidth="1"/>
    <col min="15650" max="15872" width="11.42578125" style="1666"/>
    <col min="15873" max="15873" width="49.7109375" style="1666" customWidth="1"/>
    <col min="15874" max="15874" width="16.85546875" style="1666" customWidth="1"/>
    <col min="15875" max="15875" width="15" style="1666" customWidth="1"/>
    <col min="15876" max="15876" width="12.28515625" style="1666" customWidth="1"/>
    <col min="15877" max="15877" width="8.42578125" style="1666" customWidth="1"/>
    <col min="15878" max="15878" width="14.42578125" style="1666" customWidth="1"/>
    <col min="15879" max="15879" width="17.42578125" style="1666" customWidth="1"/>
    <col min="15880" max="15880" width="9" style="1666" customWidth="1"/>
    <col min="15881" max="15881" width="12.140625" style="1666" customWidth="1"/>
    <col min="15882" max="15882" width="8.42578125" style="1666" customWidth="1"/>
    <col min="15883" max="15883" width="12" style="1666" customWidth="1"/>
    <col min="15884" max="15884" width="11.42578125" style="1666"/>
    <col min="15885" max="15885" width="11.28515625" style="1666" customWidth="1"/>
    <col min="15886" max="15886" width="13.7109375" style="1666" customWidth="1"/>
    <col min="15887" max="15887" width="16.7109375" style="1666" customWidth="1"/>
    <col min="15888" max="15888" width="13.42578125" style="1666" customWidth="1"/>
    <col min="15889" max="15889" width="11.42578125" style="1666"/>
    <col min="15890" max="15890" width="13.7109375" style="1666" customWidth="1"/>
    <col min="15891" max="15892" width="11.42578125" style="1666"/>
    <col min="15893" max="15893" width="17.28515625" style="1666" customWidth="1"/>
    <col min="15894" max="15896" width="11.42578125" style="1666"/>
    <col min="15897" max="15897" width="12.42578125" style="1666" customWidth="1"/>
    <col min="15898" max="15898" width="30.85546875" style="1666" customWidth="1"/>
    <col min="15899" max="15901" width="11.42578125" style="1666"/>
    <col min="15902" max="15902" width="12.85546875" style="1666" customWidth="1"/>
    <col min="15903" max="15904" width="11.42578125" style="1666"/>
    <col min="15905" max="15905" width="19.85546875" style="1666" customWidth="1"/>
    <col min="15906" max="16128" width="11.42578125" style="1666"/>
    <col min="16129" max="16129" width="49.7109375" style="1666" customWidth="1"/>
    <col min="16130" max="16130" width="16.85546875" style="1666" customWidth="1"/>
    <col min="16131" max="16131" width="15" style="1666" customWidth="1"/>
    <col min="16132" max="16132" width="12.28515625" style="1666" customWidth="1"/>
    <col min="16133" max="16133" width="8.42578125" style="1666" customWidth="1"/>
    <col min="16134" max="16134" width="14.42578125" style="1666" customWidth="1"/>
    <col min="16135" max="16135" width="17.42578125" style="1666" customWidth="1"/>
    <col min="16136" max="16136" width="9" style="1666" customWidth="1"/>
    <col min="16137" max="16137" width="12.140625" style="1666" customWidth="1"/>
    <col min="16138" max="16138" width="8.42578125" style="1666" customWidth="1"/>
    <col min="16139" max="16139" width="12" style="1666" customWidth="1"/>
    <col min="16140" max="16140" width="11.42578125" style="1666"/>
    <col min="16141" max="16141" width="11.28515625" style="1666" customWidth="1"/>
    <col min="16142" max="16142" width="13.7109375" style="1666" customWidth="1"/>
    <col min="16143" max="16143" width="16.7109375" style="1666" customWidth="1"/>
    <col min="16144" max="16144" width="13.42578125" style="1666" customWidth="1"/>
    <col min="16145" max="16145" width="11.42578125" style="1666"/>
    <col min="16146" max="16146" width="13.7109375" style="1666" customWidth="1"/>
    <col min="16147" max="16148" width="11.42578125" style="1666"/>
    <col min="16149" max="16149" width="17.28515625" style="1666" customWidth="1"/>
    <col min="16150" max="16152" width="11.42578125" style="1666"/>
    <col min="16153" max="16153" width="12.42578125" style="1666" customWidth="1"/>
    <col min="16154" max="16154" width="30.85546875" style="1666" customWidth="1"/>
    <col min="16155" max="16157" width="11.42578125" style="1666"/>
    <col min="16158" max="16158" width="12.85546875" style="1666" customWidth="1"/>
    <col min="16159" max="16160" width="11.42578125" style="1666"/>
    <col min="16161" max="16161" width="19.85546875" style="1666" customWidth="1"/>
    <col min="16162" max="16384" width="11.42578125" style="1666"/>
  </cols>
  <sheetData>
    <row r="1" spans="1:35" s="1552" customFormat="1" ht="92.25" customHeight="1">
      <c r="A1" s="2020"/>
      <c r="B1" s="2019"/>
      <c r="C1" s="2019"/>
      <c r="D1" s="2019"/>
      <c r="E1" s="2019"/>
      <c r="F1" s="2019"/>
      <c r="G1" s="2019"/>
      <c r="H1" s="2019"/>
      <c r="I1" s="2018"/>
      <c r="J1" s="1558"/>
      <c r="K1" s="1558"/>
      <c r="L1" s="1558"/>
      <c r="M1" s="1558"/>
      <c r="N1" s="1558"/>
      <c r="O1" s="1558"/>
      <c r="P1" s="1558"/>
      <c r="Q1" s="1558"/>
      <c r="R1" s="1558"/>
      <c r="S1" s="1553"/>
      <c r="T1" s="1553"/>
      <c r="U1" s="1553"/>
      <c r="V1" s="1553"/>
      <c r="W1" s="1553"/>
      <c r="X1" s="1553"/>
      <c r="Y1" s="1553"/>
      <c r="Z1" s="1553"/>
      <c r="AA1" s="1553"/>
      <c r="AB1" s="1553"/>
      <c r="AC1" s="1553"/>
    </row>
    <row r="2" spans="1:35" s="1663" customFormat="1" ht="30" customHeight="1">
      <c r="A2" s="3061" t="s">
        <v>1543</v>
      </c>
      <c r="B2" s="3062"/>
      <c r="C2" s="3062"/>
      <c r="D2" s="3062"/>
      <c r="E2" s="3062"/>
      <c r="F2" s="3062"/>
      <c r="G2" s="3062"/>
      <c r="H2" s="3062"/>
      <c r="I2" s="3063"/>
      <c r="J2" s="2017"/>
      <c r="K2" s="2017"/>
      <c r="L2" s="2017"/>
      <c r="M2" s="2089"/>
      <c r="N2" s="1996"/>
      <c r="O2" s="1558"/>
      <c r="P2" s="1558"/>
      <c r="Q2" s="2016"/>
      <c r="R2" s="2016"/>
      <c r="S2" s="2016"/>
      <c r="T2" s="2016"/>
      <c r="U2" s="2016"/>
      <c r="V2" s="2016"/>
      <c r="W2" s="2016"/>
      <c r="X2" s="2016"/>
      <c r="Y2" s="2016"/>
      <c r="Z2" s="2016"/>
      <c r="AA2" s="2016"/>
      <c r="AB2" s="2016"/>
      <c r="AC2" s="2016"/>
    </row>
    <row r="3" spans="1:35" s="1996" customFormat="1" ht="25.5" customHeight="1">
      <c r="A3" s="2015" t="s">
        <v>283</v>
      </c>
      <c r="B3" s="2014"/>
      <c r="C3" s="2013"/>
      <c r="D3" s="2012"/>
      <c r="E3" s="2012"/>
      <c r="F3" s="2012"/>
      <c r="G3" s="2012"/>
      <c r="H3" s="2012"/>
      <c r="I3" s="2011"/>
      <c r="J3" s="1990"/>
      <c r="K3" s="1990"/>
      <c r="L3" s="1990"/>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row>
    <row r="4" spans="1:35" s="1557" customFormat="1" ht="15" customHeight="1">
      <c r="A4" s="3064" t="s">
        <v>1652</v>
      </c>
      <c r="B4" s="2888"/>
      <c r="C4" s="2888"/>
      <c r="D4" s="2888"/>
      <c r="E4" s="2888"/>
      <c r="F4" s="2888"/>
      <c r="G4" s="2888"/>
      <c r="H4" s="2888"/>
      <c r="I4" s="2889"/>
      <c r="J4" s="1990"/>
      <c r="K4" s="1990"/>
      <c r="L4" s="1990"/>
      <c r="M4" s="2000"/>
      <c r="N4" s="1990"/>
      <c r="O4" s="1990"/>
      <c r="P4" s="1990"/>
      <c r="Q4" s="1990"/>
      <c r="R4" s="1990"/>
      <c r="S4" s="1990"/>
      <c r="T4" s="1990"/>
      <c r="U4" s="1990"/>
      <c r="V4" s="1990"/>
      <c r="W4" s="1990"/>
      <c r="X4" s="1990"/>
      <c r="Y4" s="1990"/>
      <c r="Z4" s="1990"/>
      <c r="AA4" s="1990"/>
      <c r="AB4" s="1990"/>
      <c r="AC4" s="1990"/>
      <c r="AD4" s="2000"/>
      <c r="AE4" s="2000"/>
      <c r="AF4" s="2000"/>
      <c r="AG4" s="2000"/>
      <c r="AH4" s="2000"/>
      <c r="AI4" s="2000"/>
    </row>
    <row r="5" spans="1:35" s="1557" customFormat="1" ht="15" customHeight="1">
      <c r="A5" s="1703" t="s">
        <v>282</v>
      </c>
      <c r="B5" s="2006"/>
      <c r="C5" s="1702"/>
      <c r="D5" s="2006"/>
      <c r="E5" s="2006"/>
      <c r="F5" s="2006"/>
      <c r="G5" s="2003"/>
      <c r="H5" s="2003"/>
      <c r="I5" s="2002"/>
      <c r="J5" s="1990"/>
      <c r="K5" s="1990"/>
      <c r="L5" s="1990"/>
      <c r="M5" s="2001"/>
      <c r="N5" s="1990"/>
      <c r="O5" s="1990"/>
      <c r="P5" s="1990"/>
      <c r="Q5" s="1990"/>
      <c r="R5" s="1990"/>
      <c r="S5" s="1990"/>
      <c r="T5" s="1990"/>
      <c r="U5" s="1990"/>
      <c r="V5" s="1990"/>
      <c r="W5" s="1990"/>
      <c r="X5" s="1990"/>
      <c r="Y5" s="1990"/>
      <c r="Z5" s="1990"/>
      <c r="AA5" s="1990"/>
      <c r="AB5" s="1990"/>
      <c r="AC5" s="1990"/>
      <c r="AD5" s="2000"/>
      <c r="AE5" s="2000"/>
      <c r="AF5" s="2000"/>
      <c r="AG5" s="2000"/>
      <c r="AH5" s="2000"/>
      <c r="AI5" s="2000"/>
    </row>
    <row r="6" spans="1:35" s="1557" customFormat="1" ht="40.5" customHeight="1">
      <c r="A6" s="2010" t="s">
        <v>1653</v>
      </c>
      <c r="B6" s="2008"/>
      <c r="C6" s="2008"/>
      <c r="D6" s="2008"/>
      <c r="E6" s="2008"/>
      <c r="F6" s="2008"/>
      <c r="G6" s="2008"/>
      <c r="H6" s="2003"/>
      <c r="I6" s="2002"/>
      <c r="J6" s="1990"/>
      <c r="K6" s="1990"/>
      <c r="L6" s="2001"/>
      <c r="M6" s="2001"/>
      <c r="N6" s="1990"/>
      <c r="O6" s="1990"/>
      <c r="P6" s="1990"/>
      <c r="Q6" s="1990"/>
      <c r="R6" s="1990"/>
      <c r="S6" s="1990"/>
      <c r="T6" s="1990"/>
      <c r="U6" s="1990"/>
      <c r="V6" s="1990"/>
      <c r="W6" s="1990"/>
      <c r="X6" s="1990"/>
      <c r="Y6" s="1990"/>
      <c r="Z6" s="1990"/>
      <c r="AA6" s="1990"/>
      <c r="AB6" s="1990"/>
      <c r="AC6" s="1990"/>
      <c r="AD6" s="2000"/>
      <c r="AE6" s="2000"/>
      <c r="AF6" s="2000"/>
      <c r="AG6" s="2000"/>
      <c r="AH6" s="2000"/>
      <c r="AI6" s="2000"/>
    </row>
    <row r="7" spans="1:35" s="1557" customFormat="1" ht="17.25" customHeight="1">
      <c r="A7" s="3065" t="s">
        <v>1544</v>
      </c>
      <c r="B7" s="2898"/>
      <c r="C7" s="2898"/>
      <c r="D7" s="2898"/>
      <c r="E7" s="2898"/>
      <c r="F7" s="2898"/>
      <c r="G7" s="2898"/>
      <c r="H7" s="2898"/>
      <c r="I7" s="2899"/>
      <c r="J7" s="1990"/>
      <c r="K7" s="1990"/>
      <c r="L7" s="2001"/>
      <c r="M7" s="2001"/>
      <c r="N7" s="1990"/>
      <c r="O7" s="1990"/>
      <c r="P7" s="1990"/>
      <c r="Q7" s="1990"/>
      <c r="R7" s="1990"/>
      <c r="S7" s="1990"/>
      <c r="T7" s="1990"/>
      <c r="U7" s="1990"/>
      <c r="V7" s="1990"/>
      <c r="W7" s="1990"/>
      <c r="X7" s="1990"/>
      <c r="Y7" s="1990"/>
      <c r="Z7" s="1990"/>
      <c r="AA7" s="1990"/>
      <c r="AB7" s="1990"/>
      <c r="AC7" s="1990"/>
      <c r="AD7" s="2000"/>
      <c r="AE7" s="2000"/>
      <c r="AF7" s="2000"/>
      <c r="AG7" s="2000"/>
      <c r="AH7" s="2000"/>
      <c r="AI7" s="2000"/>
    </row>
    <row r="8" spans="1:35" s="1557" customFormat="1" ht="17.25" customHeight="1">
      <c r="A8" s="2009" t="s">
        <v>281</v>
      </c>
      <c r="B8" s="2008"/>
      <c r="C8" s="2008"/>
      <c r="D8" s="2008"/>
      <c r="E8" s="2008"/>
      <c r="F8" s="2008"/>
      <c r="G8" s="2008"/>
      <c r="H8" s="2003"/>
      <c r="I8" s="2002"/>
      <c r="J8" s="1990"/>
      <c r="K8" s="1990"/>
      <c r="L8" s="2001"/>
      <c r="M8" s="2001"/>
      <c r="N8" s="1990"/>
      <c r="O8" s="1990"/>
      <c r="P8" s="1990"/>
      <c r="Q8" s="1990"/>
      <c r="R8" s="1990"/>
      <c r="S8" s="1990"/>
      <c r="T8" s="1990"/>
      <c r="U8" s="1990"/>
      <c r="V8" s="1990"/>
      <c r="W8" s="1990"/>
      <c r="X8" s="1990"/>
      <c r="Y8" s="1990"/>
      <c r="Z8" s="1990"/>
      <c r="AA8" s="1990"/>
      <c r="AB8" s="1990"/>
      <c r="AC8" s="1990"/>
      <c r="AD8" s="2000"/>
      <c r="AE8" s="2000"/>
      <c r="AF8" s="2000"/>
      <c r="AG8" s="2000"/>
      <c r="AH8" s="2000"/>
      <c r="AI8" s="2000"/>
    </row>
    <row r="9" spans="1:35" s="1557" customFormat="1" ht="6" customHeight="1">
      <c r="A9" s="2007"/>
      <c r="B9" s="2006"/>
      <c r="C9" s="1702"/>
      <c r="D9" s="2006"/>
      <c r="E9" s="2006"/>
      <c r="F9" s="2006"/>
      <c r="G9" s="2003"/>
      <c r="H9" s="2003"/>
      <c r="I9" s="2002"/>
      <c r="J9" s="1990"/>
      <c r="K9" s="1990"/>
      <c r="L9" s="2001"/>
      <c r="M9" s="2001"/>
      <c r="N9" s="1990"/>
      <c r="O9" s="1990"/>
      <c r="P9" s="1990"/>
      <c r="Q9" s="1990"/>
      <c r="R9" s="1990"/>
      <c r="S9" s="1990"/>
      <c r="T9" s="1990"/>
      <c r="U9" s="1990"/>
      <c r="V9" s="1990"/>
      <c r="W9" s="1990"/>
      <c r="X9" s="1990"/>
      <c r="Y9" s="1990"/>
      <c r="Z9" s="1990"/>
      <c r="AA9" s="1990"/>
      <c r="AB9" s="1990"/>
      <c r="AC9" s="1990"/>
      <c r="AD9" s="2000"/>
      <c r="AE9" s="2000"/>
      <c r="AF9" s="2000"/>
      <c r="AG9" s="2000"/>
      <c r="AH9" s="2000"/>
      <c r="AI9" s="2000"/>
    </row>
    <row r="10" spans="1:35" s="1557" customFormat="1" ht="15" customHeight="1">
      <c r="A10" s="3066" t="s">
        <v>20</v>
      </c>
      <c r="B10" s="2898"/>
      <c r="C10" s="2898"/>
      <c r="D10" s="2898"/>
      <c r="E10" s="2898"/>
      <c r="F10" s="2898"/>
      <c r="G10" s="2898"/>
      <c r="H10" s="2898"/>
      <c r="I10" s="2899"/>
      <c r="J10" s="1990"/>
      <c r="K10" s="1990"/>
      <c r="L10" s="2001"/>
      <c r="M10" s="2001"/>
      <c r="N10" s="1990"/>
      <c r="O10" s="1990"/>
      <c r="P10" s="1990"/>
      <c r="Q10" s="1990"/>
      <c r="R10" s="1990"/>
      <c r="S10" s="1990"/>
      <c r="T10" s="1990"/>
      <c r="U10" s="1990"/>
      <c r="V10" s="1990"/>
      <c r="W10" s="1990"/>
      <c r="X10" s="1990"/>
      <c r="Y10" s="1990"/>
      <c r="Z10" s="1990"/>
      <c r="AA10" s="1990"/>
      <c r="AB10" s="1990"/>
      <c r="AC10" s="1990"/>
      <c r="AD10" s="2000"/>
      <c r="AE10" s="2000"/>
      <c r="AF10" s="2000"/>
      <c r="AG10" s="2000"/>
      <c r="AH10" s="2000"/>
      <c r="AI10" s="2000"/>
    </row>
    <row r="11" spans="1:35" s="1557" customFormat="1" ht="47.25" customHeight="1">
      <c r="A11" s="3069" t="s">
        <v>1654</v>
      </c>
      <c r="B11" s="3070"/>
      <c r="C11" s="3070"/>
      <c r="D11" s="3070"/>
      <c r="E11" s="3070"/>
      <c r="F11" s="3070"/>
      <c r="G11" s="3070"/>
      <c r="H11" s="3070"/>
      <c r="I11" s="3071"/>
      <c r="J11" s="1990"/>
      <c r="K11" s="1990"/>
      <c r="L11" s="2004"/>
      <c r="M11" s="2004"/>
      <c r="N11" s="2004"/>
      <c r="O11" s="2004"/>
      <c r="P11" s="2004"/>
      <c r="Q11" s="1990"/>
      <c r="R11" s="1990"/>
      <c r="S11" s="1990"/>
      <c r="T11" s="1990"/>
      <c r="U11" s="1990"/>
      <c r="V11" s="1990"/>
      <c r="W11" s="1990"/>
      <c r="X11" s="1990"/>
      <c r="Y11" s="1990"/>
      <c r="Z11" s="1990"/>
      <c r="AA11" s="1990"/>
      <c r="AB11" s="1990"/>
      <c r="AC11" s="1990"/>
      <c r="AD11" s="2000"/>
      <c r="AE11" s="2000"/>
      <c r="AF11" s="2000"/>
      <c r="AG11" s="2000"/>
      <c r="AH11" s="2000"/>
      <c r="AI11" s="2000"/>
    </row>
    <row r="12" spans="1:35" s="1557" customFormat="1" ht="32.25" customHeight="1">
      <c r="A12" s="3072" t="s">
        <v>1545</v>
      </c>
      <c r="B12" s="3070"/>
      <c r="C12" s="3070"/>
      <c r="D12" s="3070"/>
      <c r="E12" s="3070"/>
      <c r="F12" s="3070"/>
      <c r="G12" s="3070"/>
      <c r="H12" s="3070"/>
      <c r="I12" s="3071"/>
      <c r="J12" s="1990"/>
      <c r="K12" s="1990"/>
      <c r="L12" s="2001"/>
      <c r="M12" s="2001"/>
      <c r="N12" s="1990"/>
      <c r="O12" s="1990"/>
      <c r="P12" s="1990"/>
      <c r="Q12" s="1990"/>
      <c r="R12" s="1990"/>
      <c r="S12" s="1990"/>
      <c r="T12" s="1990"/>
      <c r="U12" s="1990"/>
      <c r="V12" s="1990"/>
      <c r="W12" s="1990"/>
      <c r="X12" s="1990"/>
      <c r="Y12" s="1990"/>
      <c r="Z12" s="1990"/>
      <c r="AA12" s="1990"/>
      <c r="AB12" s="1990"/>
      <c r="AC12" s="1990"/>
      <c r="AD12" s="2000"/>
      <c r="AE12" s="2000"/>
      <c r="AF12" s="2000"/>
      <c r="AG12" s="2000"/>
      <c r="AH12" s="2000"/>
      <c r="AI12" s="2000"/>
    </row>
    <row r="13" spans="1:35" s="1557" customFormat="1" ht="39" customHeight="1">
      <c r="A13" s="3072" t="s">
        <v>1655</v>
      </c>
      <c r="B13" s="3070"/>
      <c r="C13" s="3070"/>
      <c r="D13" s="3070"/>
      <c r="E13" s="3070"/>
      <c r="F13" s="3070"/>
      <c r="G13" s="3070"/>
      <c r="H13" s="3070"/>
      <c r="I13" s="3071"/>
      <c r="J13" s="1990"/>
      <c r="K13" s="1990"/>
      <c r="L13" s="2001"/>
      <c r="M13" s="2001"/>
      <c r="N13" s="1990"/>
      <c r="O13" s="1990"/>
      <c r="P13" s="1990"/>
      <c r="Q13" s="1990"/>
      <c r="R13" s="1990"/>
      <c r="S13" s="1990"/>
      <c r="T13" s="1990"/>
      <c r="U13" s="1990"/>
      <c r="V13" s="1990"/>
      <c r="W13" s="1990"/>
      <c r="X13" s="1990"/>
      <c r="Y13" s="1990"/>
      <c r="Z13" s="1990"/>
      <c r="AA13" s="1990"/>
      <c r="AB13" s="1990"/>
      <c r="AC13" s="1990"/>
      <c r="AD13" s="2000"/>
      <c r="AE13" s="2000"/>
      <c r="AF13" s="2000"/>
      <c r="AG13" s="2000"/>
      <c r="AH13" s="2000"/>
      <c r="AI13" s="2000"/>
    </row>
    <row r="14" spans="1:35" s="1996" customFormat="1" ht="42.75" customHeight="1" thickBot="1">
      <c r="A14" s="3073" t="s">
        <v>1656</v>
      </c>
      <c r="B14" s="3074"/>
      <c r="C14" s="3074"/>
      <c r="D14" s="3074"/>
      <c r="E14" s="3074"/>
      <c r="F14" s="3074"/>
      <c r="G14" s="3074"/>
      <c r="H14" s="3074"/>
      <c r="I14" s="3075"/>
      <c r="J14" s="1990"/>
      <c r="K14" s="1990"/>
      <c r="L14" s="1990"/>
      <c r="M14" s="1990"/>
      <c r="N14" s="1990"/>
      <c r="O14" s="1990"/>
      <c r="P14" s="1990"/>
      <c r="Q14" s="1990"/>
      <c r="R14" s="1990"/>
      <c r="S14" s="1990"/>
      <c r="T14" s="1990"/>
      <c r="U14" s="1990"/>
      <c r="V14" s="1990"/>
      <c r="W14" s="1990"/>
      <c r="X14" s="1990"/>
      <c r="Y14" s="1990"/>
      <c r="Z14" s="1990"/>
      <c r="AA14" s="1990"/>
      <c r="AB14" s="1990"/>
      <c r="AC14" s="1990"/>
      <c r="AD14" s="1997"/>
      <c r="AE14" s="1997"/>
      <c r="AF14" s="1997"/>
      <c r="AG14" s="1997"/>
      <c r="AH14" s="1997"/>
      <c r="AI14" s="1997"/>
    </row>
    <row r="15" spans="1:35" s="1663" customFormat="1" ht="15.75" customHeight="1" thickBot="1">
      <c r="A15" s="1995"/>
      <c r="B15" s="1995"/>
      <c r="C15" s="1994"/>
      <c r="D15" s="1993"/>
      <c r="E15" s="1993"/>
      <c r="F15" s="1993"/>
      <c r="G15" s="1992"/>
      <c r="H15" s="1991"/>
      <c r="I15" s="1989"/>
      <c r="J15" s="1991"/>
      <c r="K15" s="1991"/>
      <c r="L15" s="1989"/>
      <c r="M15" s="1991"/>
      <c r="N15" s="1990"/>
      <c r="O15" s="1990"/>
      <c r="P15" s="1990"/>
      <c r="Q15" s="1989"/>
      <c r="R15" s="1989"/>
      <c r="S15" s="1989"/>
      <c r="T15" s="1989"/>
      <c r="U15" s="1989"/>
      <c r="V15" s="1989"/>
      <c r="W15" s="1989"/>
      <c r="X15" s="1989"/>
      <c r="Y15" s="1989"/>
      <c r="Z15" s="1989"/>
      <c r="AA15" s="1989"/>
      <c r="AB15" s="1989"/>
      <c r="AC15" s="1989"/>
      <c r="AD15" s="1988"/>
      <c r="AE15" s="1988"/>
      <c r="AF15" s="1988"/>
      <c r="AG15" s="1988"/>
      <c r="AH15" s="1988"/>
      <c r="AI15" s="1988"/>
    </row>
    <row r="16" spans="1:35" s="1720" customFormat="1" ht="20.25" customHeight="1">
      <c r="A16" s="1987" t="s">
        <v>279</v>
      </c>
      <c r="B16" s="1986"/>
      <c r="C16" s="1984"/>
      <c r="D16" s="1984"/>
      <c r="E16" s="1985"/>
      <c r="F16" s="1984"/>
      <c r="G16" s="1984"/>
      <c r="H16" s="1984"/>
      <c r="I16" s="1983"/>
      <c r="J16" s="1718"/>
      <c r="K16" s="1718"/>
      <c r="L16" s="1718"/>
      <c r="M16" s="1718"/>
      <c r="N16" s="1718"/>
      <c r="O16" s="1718"/>
      <c r="P16" s="1718"/>
      <c r="Q16" s="1718"/>
      <c r="R16" s="1718"/>
      <c r="S16" s="1718"/>
      <c r="T16" s="1718"/>
      <c r="U16" s="1718"/>
      <c r="V16" s="1718"/>
      <c r="W16" s="1718"/>
      <c r="X16" s="1718"/>
      <c r="Y16" s="1718"/>
      <c r="Z16" s="1718"/>
      <c r="AA16" s="1718"/>
      <c r="AB16" s="1718"/>
      <c r="AC16" s="1718"/>
    </row>
    <row r="17" spans="1:29" s="1720" customFormat="1" ht="27" customHeight="1" thickBot="1">
      <c r="A17" s="1982" t="s">
        <v>278</v>
      </c>
      <c r="B17" s="1906"/>
      <c r="C17" s="1708"/>
      <c r="D17" s="1708"/>
      <c r="E17" s="1708"/>
      <c r="F17" s="1708"/>
      <c r="G17" s="1708"/>
      <c r="H17" s="1708"/>
      <c r="I17" s="1707"/>
      <c r="J17" s="1718"/>
      <c r="K17" s="1718"/>
      <c r="L17" s="1718"/>
      <c r="M17" s="1718"/>
      <c r="N17" s="1718"/>
      <c r="O17" s="1718"/>
      <c r="P17" s="1718"/>
      <c r="Q17" s="1718"/>
      <c r="R17" s="1718"/>
      <c r="S17" s="1718"/>
      <c r="T17" s="1718"/>
      <c r="U17" s="1718"/>
      <c r="V17" s="1718"/>
      <c r="W17" s="1718"/>
      <c r="X17" s="1718"/>
      <c r="Y17" s="1718"/>
      <c r="Z17" s="1718"/>
      <c r="AA17" s="1718"/>
      <c r="AB17" s="1718"/>
      <c r="AC17" s="1718"/>
    </row>
    <row r="18" spans="1:29" s="1720" customFormat="1" ht="26.45" customHeight="1" thickBot="1">
      <c r="A18" s="1841" t="s">
        <v>277</v>
      </c>
      <c r="B18" s="1702"/>
      <c r="C18" s="1927"/>
      <c r="D18" s="1980"/>
      <c r="E18" s="1980"/>
      <c r="F18" s="1980"/>
      <c r="G18" s="1981"/>
      <c r="H18" s="1980"/>
      <c r="I18" s="1704"/>
      <c r="J18" s="1718"/>
      <c r="K18" s="1979" t="s">
        <v>276</v>
      </c>
      <c r="L18" s="1978"/>
      <c r="M18" s="1978"/>
      <c r="N18" s="1978"/>
      <c r="O18" s="1978"/>
      <c r="P18" s="1978"/>
      <c r="Q18" s="1978"/>
      <c r="R18" s="1978"/>
      <c r="S18" s="1977" t="s">
        <v>312</v>
      </c>
      <c r="T18" s="1977" t="s">
        <v>309</v>
      </c>
      <c r="U18" s="1977" t="s">
        <v>308</v>
      </c>
      <c r="V18" s="1976" t="s">
        <v>307</v>
      </c>
      <c r="W18" s="1718"/>
      <c r="X18" s="1718"/>
      <c r="Y18" s="1718"/>
      <c r="Z18" s="1718"/>
      <c r="AA18" s="1718"/>
      <c r="AB18" s="1718"/>
      <c r="AC18" s="1718"/>
    </row>
    <row r="19" spans="1:29" s="1965" customFormat="1" ht="63.75" customHeight="1" thickBot="1">
      <c r="A19" s="1975"/>
      <c r="B19" s="1974" t="s">
        <v>275</v>
      </c>
      <c r="C19" s="1937" t="s">
        <v>1551</v>
      </c>
      <c r="D19" s="1973"/>
      <c r="E19" s="1947"/>
      <c r="F19" s="3067" t="s">
        <v>1658</v>
      </c>
      <c r="G19" s="3068"/>
      <c r="H19" s="1947"/>
      <c r="I19" s="1972"/>
      <c r="J19" s="1971"/>
      <c r="K19" s="1970" t="s">
        <v>681</v>
      </c>
      <c r="L19" s="1969" t="s">
        <v>667</v>
      </c>
      <c r="M19" s="1969" t="s">
        <v>610</v>
      </c>
      <c r="N19" s="2669" t="s">
        <v>1551</v>
      </c>
      <c r="O19" s="1969" t="s">
        <v>319</v>
      </c>
      <c r="P19" s="1969" t="s">
        <v>274</v>
      </c>
      <c r="Q19" s="1969" t="s">
        <v>317</v>
      </c>
      <c r="R19" s="1969" t="s">
        <v>316</v>
      </c>
      <c r="S19" s="1968"/>
      <c r="T19" s="1968"/>
      <c r="U19" s="1968"/>
      <c r="V19" s="1967"/>
      <c r="W19" s="1966"/>
      <c r="X19" s="1966"/>
      <c r="Y19" s="1966"/>
      <c r="Z19" s="1966"/>
      <c r="AA19" s="1966"/>
      <c r="AB19" s="1966"/>
      <c r="AC19" s="1966"/>
    </row>
    <row r="20" spans="1:29" s="1658" customFormat="1" ht="16.5" thickBot="1">
      <c r="A20" s="1926"/>
      <c r="B20" s="2665" t="s">
        <v>1546</v>
      </c>
      <c r="C20" s="1964">
        <v>68860</v>
      </c>
      <c r="D20" s="1923" t="s">
        <v>273</v>
      </c>
      <c r="E20" s="1956"/>
      <c r="F20" s="2666" t="s">
        <v>1547</v>
      </c>
      <c r="G20" s="1962" t="s">
        <v>1257</v>
      </c>
      <c r="H20" s="1947"/>
      <c r="I20" s="1955"/>
      <c r="J20" s="1954"/>
      <c r="K20" s="1961"/>
      <c r="L20" s="1960"/>
      <c r="M20" s="1960"/>
      <c r="N20" s="1960"/>
      <c r="O20" s="1960"/>
      <c r="P20" s="1960"/>
      <c r="Q20" s="1960"/>
      <c r="R20" s="1960"/>
      <c r="S20" s="1960"/>
      <c r="T20" s="1960"/>
      <c r="U20" s="1960"/>
      <c r="V20" s="1959"/>
      <c r="W20" s="1689"/>
      <c r="X20" s="1689"/>
      <c r="Y20" s="1689"/>
      <c r="Z20" s="1689"/>
      <c r="AA20" s="1689"/>
      <c r="AB20" s="1689"/>
      <c r="AC20" s="1689"/>
    </row>
    <row r="21" spans="1:29" s="1658" customFormat="1">
      <c r="A21" s="1926"/>
      <c r="B21" s="1925" t="s">
        <v>272</v>
      </c>
      <c r="C21" s="1958">
        <v>0.75</v>
      </c>
      <c r="D21" s="1957"/>
      <c r="E21" s="1956"/>
      <c r="F21" s="1952" t="s">
        <v>1548</v>
      </c>
      <c r="G21" s="1951" t="s">
        <v>1258</v>
      </c>
      <c r="H21" s="1947"/>
      <c r="I21" s="1955"/>
      <c r="J21" s="1954"/>
      <c r="K21" s="1954"/>
      <c r="L21" s="1689"/>
      <c r="M21" s="1689"/>
      <c r="N21" s="1689"/>
      <c r="O21" s="1689"/>
      <c r="P21" s="1689"/>
      <c r="Q21" s="1689"/>
      <c r="R21" s="1689"/>
      <c r="S21" s="1689"/>
      <c r="T21" s="1689"/>
      <c r="U21" s="1689"/>
      <c r="V21" s="1689"/>
      <c r="W21" s="1689"/>
      <c r="X21" s="1689"/>
      <c r="Y21" s="1689"/>
      <c r="Z21" s="1689"/>
      <c r="AA21" s="1689"/>
      <c r="AB21" s="1689"/>
      <c r="AC21" s="1689"/>
    </row>
    <row r="22" spans="1:29" s="1658" customFormat="1" ht="15.75">
      <c r="A22" s="1926"/>
      <c r="B22" s="1925" t="s">
        <v>1549</v>
      </c>
      <c r="C22" s="1953">
        <f>C20*(1-C21)</f>
        <v>17215</v>
      </c>
      <c r="D22" s="1923" t="s">
        <v>271</v>
      </c>
      <c r="E22" s="1702"/>
      <c r="F22" s="1952" t="s">
        <v>270</v>
      </c>
      <c r="G22" s="1951" t="s">
        <v>1259</v>
      </c>
      <c r="H22" s="1947"/>
      <c r="I22" s="1840"/>
      <c r="J22" s="1689"/>
      <c r="K22" s="1689"/>
      <c r="L22" s="1689"/>
      <c r="M22" s="1689"/>
      <c r="N22" s="1689"/>
      <c r="O22" s="1689"/>
      <c r="P22" s="1689"/>
      <c r="Q22" s="1689"/>
      <c r="R22" s="1689"/>
      <c r="S22" s="1689"/>
      <c r="T22" s="1689"/>
      <c r="U22" s="1689"/>
      <c r="V22" s="1689"/>
      <c r="W22" s="1689"/>
      <c r="X22" s="1689"/>
      <c r="Y22" s="1689"/>
      <c r="Z22" s="1689"/>
      <c r="AA22" s="1689"/>
      <c r="AB22" s="1689"/>
      <c r="AC22" s="1689"/>
    </row>
    <row r="23" spans="1:29" s="1658" customFormat="1" ht="16.5" thickBot="1">
      <c r="A23" s="1926"/>
      <c r="B23" s="1925" t="str">
        <f>IF(C19&lt;&gt;"Palm","Врожай соломи (вилучений з поля)",B25)</f>
        <v>Врожай соломи (вилучений з поля)</v>
      </c>
      <c r="C23" s="1937"/>
      <c r="D23" s="1923" t="str">
        <f>IF(C19&lt;&gt;"Пальма","кг dm/гa/рік","")</f>
        <v>кг dm/гa/рік</v>
      </c>
      <c r="E23" s="1702"/>
      <c r="F23" s="1950" t="s">
        <v>269</v>
      </c>
      <c r="G23" s="1949" t="s">
        <v>268</v>
      </c>
      <c r="H23" s="1947"/>
      <c r="I23" s="1840"/>
      <c r="J23" s="1689"/>
      <c r="K23" s="1689"/>
      <c r="L23" s="1689"/>
      <c r="M23" s="1689"/>
      <c r="N23" s="1689"/>
      <c r="O23" s="1689"/>
      <c r="P23" s="1689"/>
      <c r="Q23" s="1689"/>
      <c r="R23" s="1689"/>
      <c r="S23" s="1689"/>
      <c r="T23" s="1689"/>
      <c r="U23" s="1689"/>
      <c r="V23" s="1689"/>
      <c r="W23" s="1689"/>
      <c r="X23" s="1689"/>
      <c r="Y23" s="1689"/>
      <c r="Z23" s="1689"/>
      <c r="AA23" s="1689"/>
      <c r="AB23" s="1689"/>
      <c r="AC23" s="1689"/>
    </row>
    <row r="24" spans="1:29" s="1912" customFormat="1">
      <c r="A24" s="1926"/>
      <c r="B24" s="1925"/>
      <c r="C24" s="1762"/>
      <c r="D24" s="1923"/>
      <c r="E24" s="1922"/>
      <c r="F24" s="1922"/>
      <c r="G24" s="1948"/>
      <c r="H24" s="1947"/>
      <c r="I24" s="1921"/>
      <c r="J24" s="1913"/>
      <c r="K24" s="1913"/>
      <c r="L24" s="1913"/>
      <c r="M24" s="1913"/>
      <c r="N24" s="1913"/>
      <c r="O24" s="1913"/>
      <c r="P24" s="1913"/>
      <c r="Q24" s="1913"/>
      <c r="R24" s="1913"/>
      <c r="S24" s="1913"/>
      <c r="T24" s="1913"/>
      <c r="U24" s="1913"/>
      <c r="V24" s="1913"/>
      <c r="W24" s="1913"/>
      <c r="X24" s="1913"/>
      <c r="Y24" s="1913"/>
      <c r="Z24" s="1913"/>
      <c r="AA24" s="1913"/>
      <c r="AB24" s="1913"/>
      <c r="AC24" s="1913"/>
    </row>
    <row r="25" spans="1:29" s="1658" customFormat="1" ht="40.5" customHeight="1">
      <c r="A25" s="1946"/>
      <c r="B25" s="2682" t="s">
        <v>1657</v>
      </c>
      <c r="C25" s="1937" t="s">
        <v>1181</v>
      </c>
      <c r="D25" s="1922"/>
      <c r="E25" s="3102" t="s">
        <v>1659</v>
      </c>
      <c r="F25" s="3103"/>
      <c r="G25" s="3103"/>
      <c r="H25" s="3103"/>
      <c r="I25" s="3104"/>
      <c r="J25" s="1689"/>
      <c r="K25" s="1718" t="s">
        <v>1181</v>
      </c>
      <c r="L25" s="1718" t="s">
        <v>747</v>
      </c>
      <c r="M25" s="1718" t="s">
        <v>748</v>
      </c>
      <c r="N25" s="1689"/>
      <c r="O25" s="1689"/>
      <c r="P25" s="1689"/>
      <c r="Q25" s="1689"/>
      <c r="R25" s="1689"/>
      <c r="S25" s="1689"/>
      <c r="T25" s="1689"/>
      <c r="U25" s="1689"/>
      <c r="V25" s="1689"/>
      <c r="W25" s="1689"/>
      <c r="X25" s="1689"/>
      <c r="Y25" s="1689"/>
      <c r="Z25" s="1689"/>
      <c r="AA25" s="1689"/>
      <c r="AB25" s="1689"/>
      <c r="AC25" s="1689"/>
    </row>
    <row r="26" spans="1:29" s="1658" customFormat="1" ht="18.75" customHeight="1">
      <c r="A26" s="1940"/>
      <c r="B26" s="1945"/>
      <c r="C26" s="1702"/>
      <c r="D26" s="1702"/>
      <c r="E26" s="1944" t="s">
        <v>1661</v>
      </c>
      <c r="F26" s="1702"/>
      <c r="G26" s="1702"/>
      <c r="H26" s="1702"/>
      <c r="I26" s="1921"/>
      <c r="J26" s="1689"/>
      <c r="K26" s="1689"/>
      <c r="L26" s="1689"/>
      <c r="M26" s="1689"/>
      <c r="N26" s="1689"/>
      <c r="O26" s="1689"/>
      <c r="P26" s="1689"/>
      <c r="Q26" s="1689"/>
      <c r="R26" s="1689"/>
      <c r="S26" s="1689"/>
      <c r="T26" s="1689"/>
      <c r="U26" s="1689"/>
      <c r="V26" s="1689"/>
      <c r="W26" s="1689"/>
      <c r="X26" s="1689"/>
      <c r="Y26" s="1689"/>
      <c r="Z26" s="1689"/>
      <c r="AA26" s="1689"/>
      <c r="AB26" s="1689"/>
      <c r="AC26" s="1689"/>
    </row>
    <row r="27" spans="1:29" s="1658" customFormat="1" ht="18.75" customHeight="1">
      <c r="A27" s="1934" t="s">
        <v>340</v>
      </c>
      <c r="B27" s="1943"/>
      <c r="C27" s="1906"/>
      <c r="D27" s="1906"/>
      <c r="E27" s="1942"/>
      <c r="F27" s="1906"/>
      <c r="G27" s="1906"/>
      <c r="H27" s="1906"/>
      <c r="I27" s="1941"/>
      <c r="J27" s="1689"/>
      <c r="K27" s="1689"/>
      <c r="L27" s="1689"/>
      <c r="M27" s="1689"/>
      <c r="N27" s="1689"/>
      <c r="O27" s="1689"/>
      <c r="P27" s="1689"/>
      <c r="Q27" s="1689"/>
      <c r="R27" s="1689"/>
      <c r="S27" s="1689"/>
      <c r="T27" s="1689"/>
      <c r="U27" s="1689"/>
      <c r="V27" s="1689"/>
      <c r="W27" s="1689"/>
      <c r="X27" s="1689"/>
      <c r="Y27" s="1689"/>
      <c r="Z27" s="1689"/>
      <c r="AA27" s="1689"/>
      <c r="AB27" s="1689"/>
      <c r="AC27" s="1689"/>
    </row>
    <row r="28" spans="1:29" s="1658" customFormat="1" ht="18.75" customHeight="1">
      <c r="A28" s="1940"/>
      <c r="B28" s="1925" t="s">
        <v>339</v>
      </c>
      <c r="C28" s="1939" t="s">
        <v>1202</v>
      </c>
      <c r="D28" s="1702"/>
      <c r="E28" s="3045" t="s">
        <v>338</v>
      </c>
      <c r="F28" s="3045"/>
      <c r="G28" s="3045"/>
      <c r="H28" s="3045"/>
      <c r="I28" s="3105"/>
      <c r="J28" s="1938" t="s">
        <v>1202</v>
      </c>
      <c r="K28" s="1718" t="s">
        <v>1305</v>
      </c>
      <c r="L28" s="1718" t="s">
        <v>1304</v>
      </c>
      <c r="M28" s="1718" t="s">
        <v>1306</v>
      </c>
      <c r="N28" s="1718" t="s">
        <v>1308</v>
      </c>
      <c r="O28" s="1718" t="s">
        <v>1309</v>
      </c>
      <c r="P28" s="1689"/>
      <c r="Q28" s="1689"/>
      <c r="R28" s="1689"/>
      <c r="S28" s="1689"/>
      <c r="T28" s="1689"/>
      <c r="U28" s="1689"/>
      <c r="V28" s="1689"/>
      <c r="W28" s="1689"/>
      <c r="X28" s="1689"/>
      <c r="Y28" s="1689"/>
      <c r="Z28" s="1689"/>
      <c r="AA28" s="1689"/>
      <c r="AB28" s="1689"/>
      <c r="AC28" s="1689"/>
    </row>
    <row r="29" spans="1:29" s="1658" customFormat="1" ht="14.45" customHeight="1">
      <c r="A29" s="1926"/>
      <c r="B29" s="2671" t="s">
        <v>1662</v>
      </c>
      <c r="C29" s="1937">
        <v>0</v>
      </c>
      <c r="D29" s="1923" t="s">
        <v>337</v>
      </c>
      <c r="E29" s="3106" t="s">
        <v>1660</v>
      </c>
      <c r="F29" s="3106"/>
      <c r="G29" s="3106"/>
      <c r="H29" s="3106"/>
      <c r="I29" s="3107"/>
      <c r="J29" s="1689"/>
      <c r="K29" s="1689"/>
      <c r="L29" s="1689"/>
      <c r="M29" s="1689"/>
      <c r="N29" s="1689"/>
      <c r="O29" s="1689"/>
      <c r="P29" s="1689"/>
      <c r="Q29" s="1689"/>
      <c r="R29" s="1689"/>
      <c r="S29" s="1689"/>
      <c r="T29" s="1689"/>
      <c r="U29" s="1689"/>
      <c r="V29" s="1689"/>
      <c r="W29" s="1689"/>
      <c r="X29" s="1689"/>
      <c r="Y29" s="1689"/>
      <c r="Z29" s="1689"/>
      <c r="AA29" s="1689"/>
      <c r="AB29" s="1689"/>
      <c r="AC29" s="1689"/>
    </row>
    <row r="30" spans="1:29" s="1658" customFormat="1" ht="23.25" customHeight="1">
      <c r="A30" s="1936"/>
      <c r="B30" s="1935"/>
      <c r="C30" s="1822"/>
      <c r="D30" s="1822"/>
      <c r="E30" s="3108" t="s">
        <v>1843</v>
      </c>
      <c r="F30" s="3108"/>
      <c r="G30" s="3108"/>
      <c r="H30" s="3108"/>
      <c r="I30" s="3109"/>
      <c r="J30" s="1689"/>
      <c r="K30" s="1689"/>
      <c r="L30" s="1689"/>
      <c r="M30" s="1689"/>
      <c r="N30" s="1689"/>
      <c r="O30" s="1689"/>
      <c r="P30" s="1689"/>
      <c r="Q30" s="1689"/>
      <c r="R30" s="1689"/>
      <c r="S30" s="1689"/>
      <c r="T30" s="1689"/>
      <c r="U30" s="1689"/>
      <c r="V30" s="1689"/>
      <c r="W30" s="1689"/>
      <c r="X30" s="1689"/>
      <c r="Y30" s="1689"/>
      <c r="Z30" s="1689"/>
      <c r="AA30" s="1689"/>
      <c r="AB30" s="1689"/>
      <c r="AC30" s="1689"/>
    </row>
    <row r="31" spans="1:29" s="1658" customFormat="1" ht="23.25" customHeight="1">
      <c r="A31" s="1934" t="s">
        <v>336</v>
      </c>
      <c r="B31" s="1933"/>
      <c r="C31" s="1932" t="s">
        <v>335</v>
      </c>
      <c r="D31" s="1931"/>
      <c r="E31" s="1906"/>
      <c r="F31" s="1906"/>
      <c r="G31" s="1906"/>
      <c r="H31" s="2668" t="s">
        <v>1664</v>
      </c>
      <c r="I31" s="1905"/>
      <c r="J31" s="1689"/>
      <c r="K31" s="1689"/>
      <c r="L31" s="1689"/>
      <c r="M31" s="1689"/>
      <c r="N31" s="1689"/>
      <c r="O31" s="1689"/>
      <c r="P31" s="1689"/>
      <c r="Q31" s="1689"/>
      <c r="R31" s="1689"/>
      <c r="S31" s="1689"/>
      <c r="T31" s="1689"/>
      <c r="U31" s="1689"/>
      <c r="V31" s="1689"/>
      <c r="W31" s="1689"/>
      <c r="X31" s="1689"/>
      <c r="Y31" s="1689"/>
      <c r="Z31" s="1689"/>
      <c r="AA31" s="1689"/>
      <c r="AB31" s="1689"/>
      <c r="AC31" s="1689"/>
    </row>
    <row r="32" spans="1:29" s="1658" customFormat="1" ht="13.5" customHeight="1">
      <c r="A32" s="1930"/>
      <c r="B32" s="1925"/>
      <c r="C32" s="2898" t="s">
        <v>334</v>
      </c>
      <c r="D32" s="2898"/>
      <c r="E32" s="2898"/>
      <c r="F32" s="2898"/>
      <c r="G32" s="2898"/>
      <c r="H32" s="2898"/>
      <c r="I32" s="2899"/>
      <c r="J32" s="1689"/>
      <c r="K32" s="1689"/>
      <c r="L32" s="1689"/>
      <c r="M32" s="1689"/>
      <c r="N32" s="1689"/>
      <c r="O32" s="1689"/>
      <c r="P32" s="1689"/>
      <c r="Q32" s="1689"/>
      <c r="R32" s="1689"/>
      <c r="S32" s="1689"/>
      <c r="T32" s="1689"/>
      <c r="U32" s="1689"/>
      <c r="V32" s="1689"/>
      <c r="W32" s="1689"/>
      <c r="X32" s="1689"/>
      <c r="Y32" s="1689"/>
      <c r="Z32" s="1689"/>
      <c r="AA32" s="1689"/>
      <c r="AB32" s="1689"/>
      <c r="AC32" s="1689"/>
    </row>
    <row r="33" spans="1:29" s="1658" customFormat="1" ht="13.5" customHeight="1">
      <c r="A33" s="1929" t="str">
        <f>IF(C19="Palm", "If palm :", "")</f>
        <v/>
      </c>
      <c r="B33" s="1925"/>
      <c r="C33" s="1927"/>
      <c r="D33" s="1923"/>
      <c r="E33" s="1702"/>
      <c r="F33" s="1702"/>
      <c r="G33" s="1702"/>
      <c r="H33" s="1762"/>
      <c r="I33" s="1840"/>
      <c r="J33" s="1689"/>
      <c r="K33" s="1689"/>
      <c r="L33" s="1689"/>
      <c r="M33" s="1689"/>
      <c r="N33" s="1689"/>
      <c r="O33" s="1689"/>
      <c r="P33" s="1689"/>
      <c r="Q33" s="1689"/>
      <c r="R33" s="1689"/>
      <c r="S33" s="1689"/>
      <c r="T33" s="1689"/>
      <c r="U33" s="1689"/>
      <c r="V33" s="1689"/>
      <c r="W33" s="1689"/>
      <c r="X33" s="1689"/>
      <c r="Y33" s="1689"/>
      <c r="Z33" s="1689"/>
      <c r="AA33" s="1689"/>
      <c r="AB33" s="1689"/>
      <c r="AC33" s="1689"/>
    </row>
    <row r="34" spans="1:29" s="1912" customFormat="1" ht="15.75" customHeight="1">
      <c r="A34" s="2794"/>
      <c r="B34" s="2792" t="str">
        <f>IF(C19="Palm", "Amount of crop residue returned to the field:", "")</f>
        <v/>
      </c>
      <c r="C34" s="1924"/>
      <c r="D34" s="1923" t="str">
        <f>IF(C19="Palm","kg dm/kg wet FFB","")</f>
        <v/>
      </c>
      <c r="E34" s="1922"/>
      <c r="F34" s="1922"/>
      <c r="G34" s="1922"/>
      <c r="H34" s="2793" t="str">
        <f>IF(C19="palm", "RED used by default 0.22","")</f>
        <v/>
      </c>
      <c r="I34" s="1921"/>
      <c r="J34" s="1913"/>
      <c r="K34" s="1913"/>
      <c r="L34" s="1913"/>
      <c r="M34" s="1913"/>
      <c r="N34" s="1913"/>
      <c r="O34" s="1913"/>
      <c r="P34" s="1913"/>
      <c r="Q34" s="1913"/>
      <c r="R34" s="1913"/>
      <c r="S34" s="1913"/>
      <c r="T34" s="1913"/>
      <c r="U34" s="1913"/>
      <c r="V34" s="1913"/>
      <c r="W34" s="1913"/>
      <c r="X34" s="1913"/>
      <c r="Y34" s="1913"/>
      <c r="Z34" s="1913"/>
      <c r="AA34" s="1913"/>
      <c r="AB34" s="1913"/>
      <c r="AC34" s="1913"/>
    </row>
    <row r="35" spans="1:29" s="1912" customFormat="1" ht="15.75" customHeight="1">
      <c r="A35" s="1785" t="s">
        <v>1844</v>
      </c>
      <c r="B35" s="2792"/>
      <c r="C35" s="2793"/>
      <c r="D35" s="1923"/>
      <c r="E35" s="1922"/>
      <c r="F35" s="1922"/>
      <c r="G35" s="1922"/>
      <c r="H35" s="1922"/>
      <c r="I35" s="1921"/>
      <c r="J35" s="1913"/>
      <c r="K35" s="1913"/>
      <c r="L35" s="1913"/>
      <c r="M35" s="1913"/>
      <c r="N35" s="1913"/>
      <c r="O35" s="1913"/>
      <c r="P35" s="1913"/>
      <c r="Q35" s="1913"/>
      <c r="R35" s="1913"/>
      <c r="S35" s="1913"/>
      <c r="T35" s="1913"/>
      <c r="U35" s="1913"/>
      <c r="V35" s="1913"/>
      <c r="W35" s="1913"/>
      <c r="X35" s="1913"/>
      <c r="Y35" s="1913"/>
      <c r="Z35" s="1913"/>
      <c r="AA35" s="1913"/>
      <c r="AB35" s="1913"/>
      <c r="AC35" s="1913"/>
    </row>
    <row r="36" spans="1:29" s="1912" customFormat="1">
      <c r="A36" s="2794"/>
      <c r="B36" s="2792" t="s">
        <v>1845</v>
      </c>
      <c r="C36" s="1924"/>
      <c r="D36" s="1923" t="s">
        <v>1855</v>
      </c>
      <c r="E36" s="1922"/>
      <c r="F36" s="1922"/>
      <c r="G36" s="2791"/>
      <c r="H36" s="2793" t="s">
        <v>1862</v>
      </c>
      <c r="I36" s="1921"/>
      <c r="J36" s="1913"/>
      <c r="K36" s="1913"/>
      <c r="L36" s="1913"/>
      <c r="M36" s="1913"/>
      <c r="N36" s="1913"/>
      <c r="O36" s="1913"/>
      <c r="P36" s="1913"/>
      <c r="Q36" s="1913"/>
      <c r="R36" s="1913"/>
      <c r="S36" s="1913"/>
      <c r="T36" s="1913"/>
      <c r="U36" s="1913"/>
      <c r="V36" s="1913"/>
      <c r="W36" s="1913"/>
      <c r="X36" s="1913"/>
      <c r="Y36" s="1913"/>
      <c r="Z36" s="1913"/>
      <c r="AA36" s="1913"/>
      <c r="AB36" s="1913"/>
      <c r="AC36" s="1913"/>
    </row>
    <row r="37" spans="1:29" s="1912" customFormat="1">
      <c r="A37" s="1926"/>
      <c r="B37" s="2792" t="s">
        <v>1846</v>
      </c>
      <c r="C37" s="1924"/>
      <c r="D37" s="1923" t="s">
        <v>1856</v>
      </c>
      <c r="E37" s="1922"/>
      <c r="F37" s="1922"/>
      <c r="G37" s="1922"/>
      <c r="H37" s="2793" t="s">
        <v>1863</v>
      </c>
      <c r="I37" s="1921"/>
      <c r="J37" s="1913"/>
      <c r="K37" s="1913"/>
      <c r="L37" s="1913"/>
      <c r="M37" s="1913"/>
      <c r="N37" s="1913"/>
      <c r="O37" s="1913"/>
      <c r="P37" s="1913"/>
      <c r="Q37" s="1913"/>
      <c r="R37" s="1913"/>
      <c r="S37" s="1913"/>
      <c r="T37" s="1913"/>
      <c r="U37" s="1913"/>
      <c r="V37" s="1913"/>
      <c r="W37" s="1913"/>
      <c r="X37" s="1913"/>
      <c r="Y37" s="1913"/>
      <c r="Z37" s="1913"/>
      <c r="AA37" s="1913"/>
      <c r="AB37" s="1913"/>
      <c r="AC37" s="1913"/>
    </row>
    <row r="38" spans="1:29" s="1912" customFormat="1">
      <c r="A38" s="1926"/>
      <c r="B38" s="2792" t="s">
        <v>1847</v>
      </c>
      <c r="C38" s="1924"/>
      <c r="D38" s="1923" t="s">
        <v>1857</v>
      </c>
      <c r="E38" s="1922"/>
      <c r="F38" s="1922"/>
      <c r="G38" s="1922"/>
      <c r="H38" s="2793" t="s">
        <v>1864</v>
      </c>
      <c r="I38" s="1921"/>
      <c r="J38" s="1913"/>
      <c r="K38" s="1913"/>
      <c r="L38" s="1913"/>
      <c r="M38" s="1913"/>
      <c r="N38" s="1913"/>
      <c r="O38" s="1913"/>
      <c r="P38" s="1913"/>
      <c r="Q38" s="1913"/>
      <c r="R38" s="1913"/>
      <c r="S38" s="1913"/>
      <c r="T38" s="1913"/>
      <c r="U38" s="1913"/>
      <c r="V38" s="1913"/>
      <c r="W38" s="1913"/>
      <c r="X38" s="1913"/>
      <c r="Y38" s="1913"/>
      <c r="Z38" s="1913"/>
      <c r="AA38" s="1913"/>
      <c r="AB38" s="1913"/>
      <c r="AC38" s="1913"/>
    </row>
    <row r="39" spans="1:29" s="1912" customFormat="1">
      <c r="A39" s="1926"/>
      <c r="B39" s="2792" t="s">
        <v>1848</v>
      </c>
      <c r="C39" s="1924"/>
      <c r="D39" s="1923" t="s">
        <v>1858</v>
      </c>
      <c r="E39" s="1922"/>
      <c r="F39" s="1922"/>
      <c r="G39" s="1922"/>
      <c r="H39" s="2793" t="s">
        <v>1865</v>
      </c>
      <c r="I39" s="1921"/>
      <c r="J39" s="1913"/>
      <c r="K39" s="1913"/>
      <c r="L39" s="1913"/>
      <c r="M39" s="1913"/>
      <c r="N39" s="1913"/>
      <c r="O39" s="1913"/>
      <c r="P39" s="1913"/>
      <c r="Q39" s="1913"/>
      <c r="R39" s="1913"/>
      <c r="S39" s="1913"/>
      <c r="T39" s="1913"/>
      <c r="U39" s="1913"/>
      <c r="V39" s="1913"/>
      <c r="W39" s="1913"/>
      <c r="X39" s="1913"/>
      <c r="Y39" s="1913"/>
      <c r="Z39" s="1913"/>
      <c r="AA39" s="1913"/>
      <c r="AB39" s="1913"/>
      <c r="AC39" s="1913"/>
    </row>
    <row r="40" spans="1:29" s="1912" customFormat="1">
      <c r="A40" s="1926"/>
      <c r="B40" s="2792" t="s">
        <v>1849</v>
      </c>
      <c r="C40" s="1924"/>
      <c r="D40" s="1923" t="s">
        <v>1859</v>
      </c>
      <c r="E40" s="1922"/>
      <c r="F40" s="1922"/>
      <c r="G40" s="1922"/>
      <c r="H40" s="2793" t="s">
        <v>1866</v>
      </c>
      <c r="I40" s="1921"/>
      <c r="J40" s="1913"/>
      <c r="K40" s="1913"/>
      <c r="L40" s="1913"/>
      <c r="M40" s="1913"/>
      <c r="N40" s="1913"/>
      <c r="O40" s="1913"/>
      <c r="P40" s="1913"/>
      <c r="Q40" s="1913"/>
      <c r="R40" s="1913"/>
      <c r="S40" s="1913"/>
      <c r="T40" s="1913"/>
      <c r="U40" s="1913"/>
      <c r="V40" s="1913"/>
      <c r="W40" s="1913"/>
      <c r="X40" s="1913"/>
      <c r="Y40" s="1913"/>
      <c r="Z40" s="1913"/>
      <c r="AA40" s="1913"/>
      <c r="AB40" s="1913"/>
      <c r="AC40" s="1913"/>
    </row>
    <row r="41" spans="1:29" s="1912" customFormat="1">
      <c r="A41" s="1926"/>
      <c r="B41" s="2792" t="s">
        <v>1850</v>
      </c>
      <c r="C41" s="2803"/>
      <c r="D41" s="1923" t="s">
        <v>1344</v>
      </c>
      <c r="E41" s="1922"/>
      <c r="F41" s="1922"/>
      <c r="G41" s="1922"/>
      <c r="H41" s="2793" t="s">
        <v>1867</v>
      </c>
      <c r="I41" s="1921"/>
      <c r="J41" s="1913"/>
      <c r="K41" s="1913"/>
      <c r="L41" s="1913"/>
      <c r="M41" s="1913"/>
      <c r="N41" s="1913"/>
      <c r="O41" s="1913"/>
      <c r="P41" s="1913"/>
      <c r="Q41" s="1913"/>
      <c r="R41" s="1913"/>
      <c r="S41" s="1913"/>
      <c r="T41" s="1913"/>
      <c r="U41" s="1913"/>
      <c r="V41" s="1913"/>
      <c r="W41" s="1913"/>
      <c r="X41" s="1913"/>
      <c r="Y41" s="1913"/>
      <c r="Z41" s="1913"/>
      <c r="AA41" s="1913"/>
      <c r="AB41" s="1913"/>
      <c r="AC41" s="1913"/>
    </row>
    <row r="42" spans="1:29" s="1912" customFormat="1">
      <c r="A42" s="1926"/>
      <c r="B42" s="2792" t="s">
        <v>1851</v>
      </c>
      <c r="C42" s="2803"/>
      <c r="D42" s="1923" t="s">
        <v>1344</v>
      </c>
      <c r="E42" s="1922"/>
      <c r="F42" s="1922"/>
      <c r="G42" s="1922"/>
      <c r="H42" s="2793" t="s">
        <v>1867</v>
      </c>
      <c r="I42" s="1921"/>
      <c r="J42" s="1913"/>
      <c r="K42" s="1913"/>
      <c r="L42" s="1913"/>
      <c r="M42" s="1913"/>
      <c r="N42" s="1913"/>
      <c r="O42" s="1913"/>
      <c r="P42" s="1913"/>
      <c r="Q42" s="1913"/>
      <c r="R42" s="1913"/>
      <c r="S42" s="1913"/>
      <c r="T42" s="1913"/>
      <c r="U42" s="1913"/>
      <c r="V42" s="1913"/>
      <c r="W42" s="1913"/>
      <c r="X42" s="1913"/>
      <c r="Y42" s="1913"/>
      <c r="Z42" s="1913"/>
      <c r="AA42" s="1913"/>
      <c r="AB42" s="1913"/>
      <c r="AC42" s="1913"/>
    </row>
    <row r="43" spans="1:29" s="1912" customFormat="1">
      <c r="A43" s="1926"/>
      <c r="B43" s="2792" t="s">
        <v>1852</v>
      </c>
      <c r="C43" s="2803"/>
      <c r="D43" s="1923" t="s">
        <v>1860</v>
      </c>
      <c r="E43" s="1922"/>
      <c r="F43" s="1922"/>
      <c r="G43" s="1922"/>
      <c r="H43" s="2793" t="s">
        <v>1868</v>
      </c>
      <c r="I43" s="1921"/>
      <c r="J43" s="1913"/>
      <c r="K43" s="1913"/>
      <c r="L43" s="1913"/>
      <c r="M43" s="1913"/>
      <c r="N43" s="1913"/>
      <c r="O43" s="1913"/>
      <c r="P43" s="1913"/>
      <c r="Q43" s="1913"/>
      <c r="R43" s="1913"/>
      <c r="S43" s="1913"/>
      <c r="T43" s="1913"/>
      <c r="U43" s="1913"/>
      <c r="V43" s="1913"/>
      <c r="W43" s="1913"/>
      <c r="X43" s="1913"/>
      <c r="Y43" s="1913"/>
      <c r="Z43" s="1913"/>
      <c r="AA43" s="1913"/>
      <c r="AB43" s="1913"/>
      <c r="AC43" s="1913"/>
    </row>
    <row r="44" spans="1:29" s="1912" customFormat="1">
      <c r="A44" s="1926"/>
      <c r="B44" s="2792" t="s">
        <v>1853</v>
      </c>
      <c r="C44" s="2803"/>
      <c r="D44" s="1923"/>
      <c r="E44" s="1922"/>
      <c r="F44" s="1922"/>
      <c r="G44" s="1922"/>
      <c r="H44" s="2793" t="s">
        <v>1869</v>
      </c>
      <c r="I44" s="1921"/>
      <c r="J44" s="1913"/>
      <c r="K44" s="1913"/>
      <c r="L44" s="1913"/>
      <c r="M44" s="1913"/>
      <c r="N44" s="1913"/>
      <c r="O44" s="1913"/>
      <c r="P44" s="1913"/>
      <c r="Q44" s="1913"/>
      <c r="R44" s="1913"/>
      <c r="S44" s="1913"/>
      <c r="T44" s="1913"/>
      <c r="U44" s="1913"/>
      <c r="V44" s="1913"/>
      <c r="W44" s="1913"/>
      <c r="X44" s="1913"/>
      <c r="Y44" s="1913"/>
      <c r="Z44" s="1913"/>
      <c r="AA44" s="1913"/>
      <c r="AB44" s="1913"/>
      <c r="AC44" s="1913"/>
    </row>
    <row r="45" spans="1:29" s="1912" customFormat="1" ht="13.5" thickBot="1">
      <c r="A45" s="1920"/>
      <c r="B45" s="1919" t="s">
        <v>1854</v>
      </c>
      <c r="C45" s="1918"/>
      <c r="D45" s="1917" t="s">
        <v>1861</v>
      </c>
      <c r="E45" s="1916"/>
      <c r="F45" s="1916"/>
      <c r="G45" s="1916"/>
      <c r="H45" s="1915" t="s">
        <v>1870</v>
      </c>
      <c r="I45" s="1914"/>
      <c r="J45" s="1913"/>
      <c r="K45" s="1913"/>
      <c r="L45" s="1913"/>
      <c r="M45" s="1913"/>
      <c r="N45" s="1913"/>
      <c r="O45" s="1913"/>
      <c r="P45" s="1913"/>
      <c r="Q45" s="1913"/>
      <c r="R45" s="1913"/>
      <c r="S45" s="1913"/>
      <c r="T45" s="1913"/>
      <c r="U45" s="1913"/>
      <c r="V45" s="1913"/>
      <c r="W45" s="1913"/>
      <c r="X45" s="1913"/>
      <c r="Y45" s="1913"/>
      <c r="Z45" s="1913"/>
      <c r="AA45" s="1913"/>
      <c r="AB45" s="1913"/>
      <c r="AC45" s="1913"/>
    </row>
    <row r="46" spans="1:29" s="1658" customFormat="1">
      <c r="A46" s="1911"/>
      <c r="B46" s="1910"/>
      <c r="C46" s="1794"/>
      <c r="D46" s="1909"/>
      <c r="E46" s="1822"/>
      <c r="F46" s="1822"/>
      <c r="G46" s="1822"/>
      <c r="H46" s="1822"/>
      <c r="I46" s="1821"/>
      <c r="J46" s="1689"/>
      <c r="K46" s="1689"/>
      <c r="L46" s="1689"/>
      <c r="M46" s="1689"/>
      <c r="N46" s="1689"/>
      <c r="O46" s="1689"/>
      <c r="P46" s="1689"/>
      <c r="Q46" s="1689"/>
      <c r="R46" s="1689"/>
      <c r="S46" s="1689"/>
      <c r="T46" s="1689"/>
      <c r="U46" s="1689"/>
      <c r="V46" s="1689"/>
      <c r="W46" s="1689"/>
      <c r="X46" s="1689"/>
      <c r="Y46" s="1689"/>
      <c r="Z46" s="1689"/>
      <c r="AA46" s="1689"/>
      <c r="AB46" s="1689"/>
      <c r="AC46" s="1689"/>
    </row>
    <row r="47" spans="1:29" s="1658" customFormat="1" ht="15" thickBot="1">
      <c r="A47" s="1908"/>
      <c r="B47" s="1908"/>
      <c r="C47" s="1859"/>
      <c r="D47" s="1689"/>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row>
    <row r="48" spans="1:29" s="1720" customFormat="1" ht="17.25" customHeight="1" thickBot="1">
      <c r="A48" s="1819" t="s">
        <v>1665</v>
      </c>
      <c r="B48" s="3056" t="s">
        <v>1666</v>
      </c>
      <c r="C48" s="3056"/>
      <c r="D48" s="3056"/>
      <c r="E48" s="3056"/>
      <c r="F48" s="3056"/>
      <c r="G48" s="3056"/>
      <c r="H48" s="3056"/>
      <c r="I48" s="3057"/>
      <c r="J48" s="1718"/>
      <c r="K48" s="1718"/>
      <c r="L48" s="1718"/>
      <c r="M48" s="1718"/>
      <c r="N48" s="1718"/>
      <c r="O48" s="1718"/>
      <c r="P48" s="1718"/>
      <c r="Q48" s="1718"/>
      <c r="R48" s="1718"/>
      <c r="S48" s="1718"/>
      <c r="T48" s="1718"/>
      <c r="U48" s="1718"/>
      <c r="V48" s="1718"/>
      <c r="W48" s="1718"/>
      <c r="X48" s="1718"/>
      <c r="Y48" s="1718"/>
      <c r="Z48" s="1718"/>
      <c r="AA48" s="1718"/>
      <c r="AB48" s="1718"/>
      <c r="AC48" s="1718"/>
    </row>
    <row r="49" spans="1:35" s="1688" customFormat="1" ht="20.25" customHeight="1">
      <c r="A49" s="1907" t="s">
        <v>333</v>
      </c>
      <c r="B49" s="1906"/>
      <c r="C49" s="1906"/>
      <c r="D49" s="1906"/>
      <c r="E49" s="1906"/>
      <c r="F49" s="1906"/>
      <c r="G49" s="1906"/>
      <c r="H49" s="1906"/>
      <c r="I49" s="1905"/>
      <c r="J49" s="1689"/>
      <c r="K49" s="1903" t="s">
        <v>332</v>
      </c>
      <c r="L49" s="3058" t="s">
        <v>331</v>
      </c>
      <c r="M49" s="3059"/>
      <c r="N49" s="1900" t="s">
        <v>1073</v>
      </c>
      <c r="O49" s="1689"/>
      <c r="P49" s="1903" t="s">
        <v>330</v>
      </c>
      <c r="Q49" s="1901" t="s">
        <v>329</v>
      </c>
      <c r="R49" s="1901"/>
      <c r="S49" s="1904" t="s">
        <v>1074</v>
      </c>
      <c r="T49" s="1689"/>
      <c r="U49" s="1903" t="s">
        <v>328</v>
      </c>
      <c r="V49" s="1902" t="s">
        <v>1075</v>
      </c>
      <c r="W49" s="1901" t="s">
        <v>327</v>
      </c>
      <c r="X49" s="1902" t="s">
        <v>326</v>
      </c>
      <c r="Y49" s="1901" t="s">
        <v>1076</v>
      </c>
      <c r="Z49" s="1901" t="s">
        <v>1345</v>
      </c>
      <c r="AA49" s="1901" t="s">
        <v>1077</v>
      </c>
      <c r="AB49" s="1901" t="s">
        <v>1078</v>
      </c>
      <c r="AC49" s="1901" t="s">
        <v>1079</v>
      </c>
      <c r="AD49" s="1901" t="s">
        <v>1080</v>
      </c>
      <c r="AE49" s="1901" t="s">
        <v>1081</v>
      </c>
      <c r="AF49" s="1901" t="s">
        <v>1032</v>
      </c>
      <c r="AG49" s="1900" t="s">
        <v>325</v>
      </c>
      <c r="AH49" s="1658"/>
      <c r="AI49" s="1658"/>
    </row>
    <row r="50" spans="1:35" s="1658" customFormat="1" ht="15.75">
      <c r="A50" s="1841" t="s">
        <v>324</v>
      </c>
      <c r="B50" s="1852"/>
      <c r="C50" s="1702"/>
      <c r="D50" s="1702"/>
      <c r="E50" s="1702"/>
      <c r="F50" s="1702"/>
      <c r="G50" s="1702"/>
      <c r="H50" s="1702"/>
      <c r="I50" s="1840"/>
      <c r="J50" s="1689"/>
      <c r="K50" s="1889" t="s">
        <v>1041</v>
      </c>
      <c r="L50" s="1899">
        <f>VLOOKUP(C19,U50:AE61,5,FALSE)*1000</f>
        <v>0</v>
      </c>
      <c r="M50" s="1786" t="s">
        <v>311</v>
      </c>
      <c r="N50" s="1890"/>
      <c r="O50" s="1689"/>
      <c r="P50" s="1889"/>
      <c r="Q50" s="1758" t="s">
        <v>389</v>
      </c>
      <c r="R50" s="1786" t="s">
        <v>1069</v>
      </c>
      <c r="S50" s="1747" t="s">
        <v>1070</v>
      </c>
      <c r="T50" s="1689"/>
      <c r="U50" s="1889" t="s">
        <v>681</v>
      </c>
      <c r="V50" s="1888">
        <v>1.6E-2</v>
      </c>
      <c r="W50" s="1791">
        <v>1.07</v>
      </c>
      <c r="X50" s="1791">
        <v>1.54</v>
      </c>
      <c r="Y50" s="1791">
        <f t="shared" ref="Y50:Y56" si="0">W50*$C$22/1000+X50</f>
        <v>19.960049999999999</v>
      </c>
      <c r="Z50" s="1791">
        <f t="shared" ref="Z50:Z57" si="1">(Y50*1000+$C$22)/$C$22</f>
        <v>2.1594568690095848</v>
      </c>
      <c r="AA50" s="1791">
        <f t="shared" ref="AA50:AA57" si="2">Y50*1000/$C$22</f>
        <v>1.1594568690095846</v>
      </c>
      <c r="AB50" s="1791">
        <v>0.2</v>
      </c>
      <c r="AC50" s="1888">
        <v>1.4E-2</v>
      </c>
      <c r="AD50" s="1791">
        <f t="shared" ref="AD50:AD56" si="3">AB50*Z50</f>
        <v>0.431891373801917</v>
      </c>
      <c r="AE50" s="1791">
        <f t="shared" ref="AE50:AE57" si="4">AD50*$C$22/1000</f>
        <v>7.435010000000001</v>
      </c>
      <c r="AF50" s="1791">
        <v>16.3</v>
      </c>
      <c r="AG50" s="1887" t="s">
        <v>315</v>
      </c>
    </row>
    <row r="51" spans="1:35" s="1658" customFormat="1" ht="15.75">
      <c r="A51" s="1703"/>
      <c r="B51" s="1702"/>
      <c r="C51" s="1702"/>
      <c r="D51" s="1702"/>
      <c r="E51" s="1702"/>
      <c r="F51" s="1702"/>
      <c r="G51" s="1702"/>
      <c r="H51" s="1702"/>
      <c r="I51" s="1725"/>
      <c r="K51" s="1889" t="s">
        <v>1043</v>
      </c>
      <c r="L51" s="1879">
        <v>1</v>
      </c>
      <c r="M51" s="1891"/>
      <c r="N51" s="1890"/>
      <c r="O51" s="1689"/>
      <c r="P51" s="1895" t="s">
        <v>1311</v>
      </c>
      <c r="Q51" s="1758">
        <v>15</v>
      </c>
      <c r="R51" s="1786">
        <v>10</v>
      </c>
      <c r="S51" s="1747">
        <v>30</v>
      </c>
      <c r="T51" s="1689"/>
      <c r="U51" s="1889" t="s">
        <v>667</v>
      </c>
      <c r="V51" s="1888">
        <v>6.0000000000000001E-3</v>
      </c>
      <c r="W51" s="1791">
        <v>1.51</v>
      </c>
      <c r="X51" s="1791">
        <v>0.52</v>
      </c>
      <c r="Y51" s="1791">
        <f t="shared" si="0"/>
        <v>26.51465</v>
      </c>
      <c r="Z51" s="1791">
        <f t="shared" si="1"/>
        <v>2.5402062155097296</v>
      </c>
      <c r="AA51" s="1791">
        <f t="shared" si="2"/>
        <v>1.5402062155097298</v>
      </c>
      <c r="AB51" s="1791">
        <v>0.24</v>
      </c>
      <c r="AC51" s="1888">
        <v>8.9999999999999993E-3</v>
      </c>
      <c r="AD51" s="1791">
        <f t="shared" si="3"/>
        <v>0.60964949172233507</v>
      </c>
      <c r="AE51" s="1791">
        <f t="shared" si="4"/>
        <v>10.495115999999998</v>
      </c>
      <c r="AF51" s="1791">
        <v>17</v>
      </c>
      <c r="AG51" s="1887" t="s">
        <v>315</v>
      </c>
    </row>
    <row r="52" spans="1:35" s="1658" customFormat="1" ht="21" customHeight="1">
      <c r="A52" s="1703"/>
      <c r="B52" s="1762" t="s">
        <v>1082</v>
      </c>
      <c r="C52" s="1898">
        <v>119.7</v>
      </c>
      <c r="D52" s="1702" t="s">
        <v>347</v>
      </c>
      <c r="E52" s="1702" t="s">
        <v>323</v>
      </c>
      <c r="F52" s="1702"/>
      <c r="G52" s="1702"/>
      <c r="H52" s="1702"/>
      <c r="I52" s="1725"/>
      <c r="K52" s="1889" t="s">
        <v>1077</v>
      </c>
      <c r="L52" s="1892">
        <f>VLOOKUP(C19,U50:AE61,7,FALSE)</f>
        <v>0</v>
      </c>
      <c r="M52" s="1891"/>
      <c r="N52" s="1890"/>
      <c r="O52" s="1689"/>
      <c r="P52" s="1895" t="s">
        <v>1312</v>
      </c>
      <c r="Q52" s="1758">
        <v>10</v>
      </c>
      <c r="R52" s="1786">
        <v>8</v>
      </c>
      <c r="S52" s="1747">
        <v>15</v>
      </c>
      <c r="T52" s="1689"/>
      <c r="U52" s="1889" t="s">
        <v>322</v>
      </c>
      <c r="V52" s="1888">
        <v>6.0000000000000001E-3</v>
      </c>
      <c r="W52" s="1791">
        <v>1.03</v>
      </c>
      <c r="X52" s="1791">
        <v>0.61</v>
      </c>
      <c r="Y52" s="1791">
        <f t="shared" si="0"/>
        <v>18.341450000000002</v>
      </c>
      <c r="Z52" s="1791">
        <f t="shared" si="1"/>
        <v>2.065434214347952</v>
      </c>
      <c r="AA52" s="1791">
        <f t="shared" si="2"/>
        <v>1.0654342143479525</v>
      </c>
      <c r="AB52" s="1791">
        <v>0.22</v>
      </c>
      <c r="AC52" s="1888">
        <v>7.0000000000000001E-3</v>
      </c>
      <c r="AD52" s="1791">
        <f t="shared" si="3"/>
        <v>0.45439552715654946</v>
      </c>
      <c r="AE52" s="1791">
        <f t="shared" si="4"/>
        <v>7.8224189999999991</v>
      </c>
      <c r="AF52" s="1791">
        <v>18.5</v>
      </c>
      <c r="AG52" s="1887" t="s">
        <v>315</v>
      </c>
    </row>
    <row r="53" spans="1:35" s="1658" customFormat="1" ht="15.75">
      <c r="A53" s="1703"/>
      <c r="B53" s="1762" t="s">
        <v>1042</v>
      </c>
      <c r="C53" s="1898">
        <v>0</v>
      </c>
      <c r="D53" s="1702" t="s">
        <v>347</v>
      </c>
      <c r="E53" s="1702" t="s">
        <v>354</v>
      </c>
      <c r="F53" s="1702"/>
      <c r="G53" s="1702"/>
      <c r="H53" s="1702"/>
      <c r="I53" s="1725"/>
      <c r="K53" s="1889" t="s">
        <v>1046</v>
      </c>
      <c r="L53" s="1897">
        <f>VLOOKUP(C19,U50:V61,2,FALSE)</f>
        <v>0</v>
      </c>
      <c r="M53" s="1891"/>
      <c r="N53" s="1890"/>
      <c r="O53" s="1689"/>
      <c r="P53" s="1889"/>
      <c r="Q53" s="1891"/>
      <c r="R53" s="1891"/>
      <c r="S53" s="1890"/>
      <c r="T53" s="1689"/>
      <c r="U53" s="2670" t="s">
        <v>1551</v>
      </c>
      <c r="V53" s="1888"/>
      <c r="W53" s="1791"/>
      <c r="X53" s="1791"/>
      <c r="Y53" s="1791">
        <f t="shared" si="0"/>
        <v>0</v>
      </c>
      <c r="Z53" s="1791">
        <f t="shared" si="1"/>
        <v>1</v>
      </c>
      <c r="AA53" s="1791">
        <f t="shared" si="2"/>
        <v>0</v>
      </c>
      <c r="AB53" s="1791"/>
      <c r="AC53" s="1888"/>
      <c r="AD53" s="1791">
        <f t="shared" si="3"/>
        <v>0</v>
      </c>
      <c r="AE53" s="1791">
        <f t="shared" si="4"/>
        <v>0</v>
      </c>
      <c r="AF53" s="1791">
        <v>19.600000000000001</v>
      </c>
      <c r="AG53" s="1887" t="s">
        <v>315</v>
      </c>
    </row>
    <row r="54" spans="1:35" s="1658" customFormat="1" ht="15.75">
      <c r="A54" s="1703"/>
      <c r="B54" s="1762" t="s">
        <v>1044</v>
      </c>
      <c r="C54" s="1896" t="e">
        <f>L58</f>
        <v>#DIV/0!</v>
      </c>
      <c r="D54" s="1702" t="s">
        <v>347</v>
      </c>
      <c r="E54" s="1702" t="s">
        <v>351</v>
      </c>
      <c r="F54" s="1702"/>
      <c r="G54" s="1702"/>
      <c r="H54" s="1702"/>
      <c r="I54" s="1725"/>
      <c r="K54" s="1889" t="s">
        <v>1047</v>
      </c>
      <c r="L54" s="1879" t="e">
        <f>C23/L52/C22</f>
        <v>#DIV/0!</v>
      </c>
      <c r="M54" s="1891"/>
      <c r="N54" s="1890"/>
      <c r="O54" s="1689"/>
      <c r="P54" s="1895" t="s">
        <v>1045</v>
      </c>
      <c r="Q54" s="1758">
        <f>IF(C28="arable to arable land",C29/Q52*1000,C29/Q51*1000)</f>
        <v>0</v>
      </c>
      <c r="R54" s="1786" t="s">
        <v>321</v>
      </c>
      <c r="S54" s="1878" t="s">
        <v>320</v>
      </c>
      <c r="T54" s="1689"/>
      <c r="U54" s="1889" t="s">
        <v>319</v>
      </c>
      <c r="V54" s="1888">
        <v>6.0000000000000001E-3</v>
      </c>
      <c r="W54" s="1791">
        <v>1.0900000000000001</v>
      </c>
      <c r="X54" s="1791">
        <v>0.88</v>
      </c>
      <c r="Y54" s="1791">
        <f t="shared" si="0"/>
        <v>19.644350000000003</v>
      </c>
      <c r="Z54" s="1791">
        <f t="shared" si="1"/>
        <v>2.1411182108626203</v>
      </c>
      <c r="AA54" s="1791">
        <f t="shared" si="2"/>
        <v>1.1411182108626199</v>
      </c>
      <c r="AB54" s="1791">
        <v>0.22</v>
      </c>
      <c r="AC54" s="1888">
        <v>8.9999999999999993E-3</v>
      </c>
      <c r="AD54" s="1791">
        <f t="shared" si="3"/>
        <v>0.47104600638977645</v>
      </c>
      <c r="AE54" s="1791">
        <f t="shared" si="4"/>
        <v>8.1090570000000017</v>
      </c>
      <c r="AF54" s="1791">
        <v>26.4</v>
      </c>
      <c r="AG54" s="1887" t="s">
        <v>315</v>
      </c>
    </row>
    <row r="55" spans="1:35" s="1658" customFormat="1" ht="16.5" thickBot="1">
      <c r="A55" s="1703"/>
      <c r="B55" s="1762" t="s">
        <v>1045</v>
      </c>
      <c r="C55" s="1882">
        <f>Q54</f>
        <v>0</v>
      </c>
      <c r="D55" s="1702" t="s">
        <v>347</v>
      </c>
      <c r="E55" s="1702" t="s">
        <v>318</v>
      </c>
      <c r="F55" s="1702"/>
      <c r="G55" s="1702"/>
      <c r="H55" s="1702"/>
      <c r="I55" s="1725"/>
      <c r="K55" s="1889" t="s">
        <v>1080</v>
      </c>
      <c r="L55" s="1894">
        <f>VLOOKUP(C19,U50:AE61,10,FALSE)</f>
        <v>0</v>
      </c>
      <c r="M55" s="1891"/>
      <c r="N55" s="1890"/>
      <c r="O55" s="1689"/>
      <c r="P55" s="1877" t="s">
        <v>396</v>
      </c>
      <c r="Q55" s="1876"/>
      <c r="R55" s="1876"/>
      <c r="S55" s="1875"/>
      <c r="T55" s="1689"/>
      <c r="U55" s="2670" t="s">
        <v>274</v>
      </c>
      <c r="V55" s="1888">
        <v>6.0000000000000001E-3</v>
      </c>
      <c r="W55" s="1791">
        <v>1.0900000000000001</v>
      </c>
      <c r="X55" s="1791">
        <v>0.88</v>
      </c>
      <c r="Y55" s="1791">
        <f t="shared" si="0"/>
        <v>19.644350000000003</v>
      </c>
      <c r="Z55" s="1791">
        <f t="shared" si="1"/>
        <v>2.1411182108626203</v>
      </c>
      <c r="AA55" s="1791">
        <f t="shared" si="2"/>
        <v>1.1411182108626199</v>
      </c>
      <c r="AB55" s="1791">
        <v>0.22</v>
      </c>
      <c r="AC55" s="1888">
        <v>8.9999999999999993E-3</v>
      </c>
      <c r="AD55" s="1791">
        <f t="shared" si="3"/>
        <v>0.47104600638977645</v>
      </c>
      <c r="AE55" s="1791">
        <f t="shared" si="4"/>
        <v>8.1090570000000017</v>
      </c>
      <c r="AF55" s="1791">
        <v>26.4</v>
      </c>
      <c r="AG55" s="1887" t="s">
        <v>315</v>
      </c>
    </row>
    <row r="56" spans="1:35" s="1658" customFormat="1" ht="15.75">
      <c r="A56" s="1736"/>
      <c r="B56" s="1735"/>
      <c r="C56" s="1735"/>
      <c r="D56" s="1735"/>
      <c r="E56" s="1735"/>
      <c r="F56" s="1735"/>
      <c r="G56" s="1735"/>
      <c r="H56" s="1735"/>
      <c r="I56" s="1725"/>
      <c r="K56" s="1889" t="s">
        <v>1048</v>
      </c>
      <c r="L56" s="1892">
        <f>VLOOKUP(C19,U50:AE61,9,FALSE)</f>
        <v>0</v>
      </c>
      <c r="M56" s="1891"/>
      <c r="N56" s="1890"/>
      <c r="O56" s="1689"/>
      <c r="P56" s="1689"/>
      <c r="Q56" s="1689"/>
      <c r="R56" s="1859"/>
      <c r="S56" s="1689"/>
      <c r="T56" s="1689"/>
      <c r="U56" s="1889" t="s">
        <v>317</v>
      </c>
      <c r="V56" s="1888">
        <v>8.0000000000000002E-3</v>
      </c>
      <c r="W56" s="1791">
        <v>0.93</v>
      </c>
      <c r="X56" s="1791">
        <v>1.35</v>
      </c>
      <c r="Y56" s="1791">
        <f t="shared" si="0"/>
        <v>17.359950000000001</v>
      </c>
      <c r="Z56" s="1791">
        <f t="shared" si="1"/>
        <v>2.0084199825733369</v>
      </c>
      <c r="AA56" s="1791">
        <f t="shared" si="2"/>
        <v>1.0084199825733373</v>
      </c>
      <c r="AB56" s="1791">
        <v>0.19</v>
      </c>
      <c r="AC56" s="1888">
        <v>8.0000000000000002E-3</v>
      </c>
      <c r="AD56" s="1791">
        <f t="shared" si="3"/>
        <v>0.38159979668893401</v>
      </c>
      <c r="AE56" s="1791">
        <f t="shared" si="4"/>
        <v>6.5692404999999994</v>
      </c>
      <c r="AF56" s="1791">
        <v>23.529411764705884</v>
      </c>
      <c r="AG56" s="1887" t="s">
        <v>315</v>
      </c>
    </row>
    <row r="57" spans="1:35" s="1658" customFormat="1" ht="15.75">
      <c r="A57" s="1703"/>
      <c r="B57" s="1735"/>
      <c r="C57" s="1893" t="s">
        <v>389</v>
      </c>
      <c r="D57" s="1697" t="s">
        <v>1069</v>
      </c>
      <c r="E57" s="1696" t="s">
        <v>1070</v>
      </c>
      <c r="F57" s="1762"/>
      <c r="G57" s="1792"/>
      <c r="H57" s="1792"/>
      <c r="I57" s="1725"/>
      <c r="K57" s="1889" t="s">
        <v>1078</v>
      </c>
      <c r="L57" s="1892">
        <f>VLOOKUP(C19,U50:AE61,8,FALSE)</f>
        <v>0</v>
      </c>
      <c r="M57" s="1891"/>
      <c r="N57" s="1890"/>
      <c r="O57" s="1689"/>
      <c r="P57" s="1689"/>
      <c r="Q57" s="1689"/>
      <c r="R57" s="1859"/>
      <c r="S57" s="1689"/>
      <c r="T57" s="1689"/>
      <c r="U57" s="1889" t="s">
        <v>316</v>
      </c>
      <c r="V57" s="1888">
        <v>1.0999999999999999E-2</v>
      </c>
      <c r="W57" s="1791"/>
      <c r="X57" s="1791"/>
      <c r="Y57" s="1791">
        <f>C20*C34/1000</f>
        <v>0</v>
      </c>
      <c r="Z57" s="1791">
        <f t="shared" si="1"/>
        <v>1</v>
      </c>
      <c r="AA57" s="1791">
        <f t="shared" si="2"/>
        <v>0</v>
      </c>
      <c r="AB57" s="1791"/>
      <c r="AC57" s="1888"/>
      <c r="AD57" s="1791"/>
      <c r="AE57" s="1791">
        <f t="shared" si="4"/>
        <v>0</v>
      </c>
      <c r="AF57" s="1791">
        <v>24</v>
      </c>
      <c r="AG57" s="1887" t="s">
        <v>315</v>
      </c>
    </row>
    <row r="58" spans="1:35" s="1658" customFormat="1" ht="14.25">
      <c r="A58" s="1886" t="s">
        <v>314</v>
      </c>
      <c r="B58" s="1766" t="s">
        <v>1206</v>
      </c>
      <c r="C58" s="1775">
        <v>0.01</v>
      </c>
      <c r="D58" s="1764">
        <v>3.0000000000000001E-3</v>
      </c>
      <c r="E58" s="1763">
        <v>0.03</v>
      </c>
      <c r="F58" s="1762"/>
      <c r="G58" s="1762"/>
      <c r="H58" s="1762"/>
      <c r="I58" s="1725"/>
      <c r="K58" s="1880" t="s">
        <v>1073</v>
      </c>
      <c r="L58" s="1879" t="e">
        <f>IF(C19="Sugar cane",(C36*C40+C37*C45)*C20/1000,C22*L51*(L52*L53*(1-L54)+L55*L56))</f>
        <v>#DIV/0!</v>
      </c>
      <c r="M58" s="1786" t="s">
        <v>311</v>
      </c>
      <c r="N58" s="1878" t="s">
        <v>313</v>
      </c>
      <c r="O58" s="1689"/>
      <c r="P58" s="1689"/>
      <c r="Q58" s="1689"/>
      <c r="R58" s="1859"/>
      <c r="S58" s="1689"/>
      <c r="T58" s="1689"/>
      <c r="U58" s="1885" t="s">
        <v>312</v>
      </c>
      <c r="V58" s="1884"/>
      <c r="W58" s="1882"/>
      <c r="X58" s="1882"/>
      <c r="Y58" s="1882"/>
      <c r="Z58" s="1882"/>
      <c r="AA58" s="1882"/>
      <c r="AB58" s="1882"/>
      <c r="AC58" s="1883"/>
      <c r="AD58" s="1882"/>
      <c r="AE58" s="1882"/>
      <c r="AF58" s="1882"/>
      <c r="AG58" s="1881"/>
    </row>
    <row r="59" spans="1:35" s="1658" customFormat="1">
      <c r="A59" s="1736"/>
      <c r="B59" s="1735"/>
      <c r="C59" s="1735"/>
      <c r="D59" s="1735"/>
      <c r="E59" s="1735"/>
      <c r="F59" s="1735"/>
      <c r="G59" s="1735"/>
      <c r="H59" s="1735"/>
      <c r="I59" s="1725"/>
      <c r="K59" s="1880"/>
      <c r="L59" s="1879" t="e">
        <f>IF(C19="sugar cane",(C36*C40+C37*C45)*C20/1000,L50*L51*(L53*(1-L54)+L57*L56))</f>
        <v>#DIV/0!</v>
      </c>
      <c r="M59" s="1786" t="s">
        <v>311</v>
      </c>
      <c r="N59" s="1878" t="s">
        <v>310</v>
      </c>
      <c r="O59" s="1689"/>
      <c r="P59" s="1689"/>
      <c r="Q59" s="1689"/>
      <c r="R59" s="1689"/>
      <c r="S59" s="1689"/>
      <c r="T59" s="1689"/>
      <c r="U59" s="1874" t="s">
        <v>309</v>
      </c>
      <c r="V59" s="1873"/>
      <c r="W59" s="1871"/>
      <c r="X59" s="1871"/>
      <c r="Y59" s="1871"/>
      <c r="Z59" s="1871"/>
      <c r="AA59" s="1871"/>
      <c r="AB59" s="1871"/>
      <c r="AC59" s="1872"/>
      <c r="AD59" s="1871"/>
      <c r="AE59" s="1871"/>
      <c r="AF59" s="1871"/>
      <c r="AG59" s="1870"/>
    </row>
    <row r="60" spans="1:35" s="1658" customFormat="1" ht="16.5" thickBot="1">
      <c r="A60" s="1736"/>
      <c r="B60" s="1735"/>
      <c r="C60" s="3076" t="s">
        <v>391</v>
      </c>
      <c r="D60" s="3077"/>
      <c r="E60" s="3078"/>
      <c r="F60" s="3076" t="s">
        <v>390</v>
      </c>
      <c r="G60" s="3077"/>
      <c r="H60" s="3078"/>
      <c r="I60" s="1725"/>
      <c r="K60" s="1877" t="s">
        <v>396</v>
      </c>
      <c r="L60" s="1876"/>
      <c r="M60" s="1876"/>
      <c r="N60" s="1875"/>
      <c r="U60" s="1874" t="s">
        <v>308</v>
      </c>
      <c r="V60" s="1873"/>
      <c r="W60" s="1871"/>
      <c r="X60" s="1871"/>
      <c r="Y60" s="1871"/>
      <c r="Z60" s="1871"/>
      <c r="AA60" s="1871"/>
      <c r="AB60" s="1871"/>
      <c r="AC60" s="1872"/>
      <c r="AD60" s="1871"/>
      <c r="AE60" s="1871"/>
      <c r="AF60" s="1871"/>
      <c r="AG60" s="1870"/>
    </row>
    <row r="61" spans="1:35" s="1658" customFormat="1" ht="13.5" thickBot="1">
      <c r="A61" s="1736"/>
      <c r="B61" s="1735"/>
      <c r="C61" s="1698" t="s">
        <v>389</v>
      </c>
      <c r="D61" s="1697" t="s">
        <v>1069</v>
      </c>
      <c r="E61" s="1696" t="s">
        <v>1070</v>
      </c>
      <c r="F61" s="1698" t="s">
        <v>389</v>
      </c>
      <c r="G61" s="1697" t="s">
        <v>1069</v>
      </c>
      <c r="H61" s="1696" t="s">
        <v>1070</v>
      </c>
      <c r="I61" s="1725"/>
      <c r="K61" s="1869"/>
      <c r="L61" s="1868"/>
      <c r="M61" s="1868"/>
      <c r="N61" s="1868"/>
      <c r="U61" s="1867" t="s">
        <v>307</v>
      </c>
      <c r="V61" s="1866"/>
      <c r="W61" s="1864"/>
      <c r="X61" s="1864"/>
      <c r="Y61" s="1864"/>
      <c r="Z61" s="1864"/>
      <c r="AA61" s="1864"/>
      <c r="AB61" s="1864"/>
      <c r="AC61" s="1865"/>
      <c r="AD61" s="1864"/>
      <c r="AE61" s="1864"/>
      <c r="AF61" s="1864"/>
      <c r="AG61" s="1863"/>
    </row>
    <row r="62" spans="1:35" s="1658" customFormat="1" ht="15" customHeight="1" thickBot="1">
      <c r="A62" s="1785" t="s">
        <v>306</v>
      </c>
      <c r="B62" s="1862" t="s">
        <v>305</v>
      </c>
      <c r="C62" s="1730" t="e">
        <f>SUM(C52:C55)*C58</f>
        <v>#DIV/0!</v>
      </c>
      <c r="D62" s="1727" t="e">
        <f>SUM(C52:C55)*D58</f>
        <v>#DIV/0!</v>
      </c>
      <c r="E62" s="1726" t="e">
        <f>SUM(C52:C55)*E58</f>
        <v>#DIV/0!</v>
      </c>
      <c r="F62" s="1728" t="e">
        <f>C62*44/28</f>
        <v>#DIV/0!</v>
      </c>
      <c r="G62" s="1727" t="e">
        <f>D62*44/28</f>
        <v>#DIV/0!</v>
      </c>
      <c r="H62" s="1726" t="e">
        <f>E62*44/28</f>
        <v>#DIV/0!</v>
      </c>
      <c r="I62" s="1861" t="s">
        <v>304</v>
      </c>
      <c r="J62" s="1860"/>
      <c r="K62" s="1859"/>
      <c r="L62" s="1859"/>
      <c r="M62" s="1689"/>
      <c r="N62" s="1689"/>
      <c r="O62" s="1689"/>
      <c r="P62" s="1689"/>
      <c r="Q62" s="1689"/>
      <c r="R62" s="1689"/>
      <c r="S62" s="1689"/>
      <c r="T62" s="1689"/>
      <c r="U62" s="1689"/>
      <c r="V62" s="1689"/>
      <c r="W62" s="1689"/>
      <c r="X62" s="1689"/>
      <c r="Y62" s="1689"/>
      <c r="Z62" s="1689"/>
      <c r="AA62" s="1689"/>
      <c r="AB62" s="1689"/>
      <c r="AC62" s="1689"/>
    </row>
    <row r="63" spans="1:35" s="1658" customFormat="1" ht="14.25">
      <c r="A63" s="1703"/>
      <c r="B63" s="1702"/>
      <c r="C63" s="1844"/>
      <c r="D63" s="1702"/>
      <c r="E63" s="1702"/>
      <c r="F63" s="1844"/>
      <c r="G63" s="1702"/>
      <c r="H63" s="1702"/>
      <c r="I63" s="1840"/>
      <c r="J63" s="1689"/>
      <c r="K63" s="1689"/>
      <c r="L63" s="1689"/>
      <c r="M63" s="1689"/>
      <c r="N63" s="1689"/>
      <c r="O63" s="1689"/>
      <c r="P63" s="1689"/>
      <c r="Q63" s="1689"/>
      <c r="R63" s="1689"/>
      <c r="S63" s="1689"/>
      <c r="T63" s="1689"/>
      <c r="U63" s="1813" t="s">
        <v>303</v>
      </c>
      <c r="V63" s="1858" t="s">
        <v>302</v>
      </c>
      <c r="W63" s="1857"/>
      <c r="X63" s="1857"/>
      <c r="Y63" s="1857"/>
      <c r="Z63" s="1857" t="s">
        <v>1669</v>
      </c>
      <c r="AA63" s="1857"/>
      <c r="AB63" s="1857"/>
      <c r="AC63" s="1857"/>
      <c r="AD63" s="1857"/>
      <c r="AE63" s="1857"/>
      <c r="AF63" s="1857"/>
      <c r="AG63" s="1807"/>
    </row>
    <row r="64" spans="1:35" s="1658" customFormat="1" ht="18.75" customHeight="1">
      <c r="A64" s="1841" t="s">
        <v>301</v>
      </c>
      <c r="B64" s="1852"/>
      <c r="C64" s="1702" t="s">
        <v>300</v>
      </c>
      <c r="D64" s="1702"/>
      <c r="E64" s="1702"/>
      <c r="F64" s="1702"/>
      <c r="G64" s="1702"/>
      <c r="H64" s="1702"/>
      <c r="I64" s="1840"/>
      <c r="J64" s="1689"/>
      <c r="K64" s="1689"/>
      <c r="L64" s="1689"/>
      <c r="M64" s="1689"/>
      <c r="N64" s="1689"/>
      <c r="O64" s="1689"/>
      <c r="P64" s="1689"/>
      <c r="Q64" s="1689"/>
      <c r="R64" s="1689"/>
      <c r="S64" s="1689"/>
      <c r="T64" s="1689"/>
      <c r="U64" s="1839" t="s">
        <v>1245</v>
      </c>
      <c r="V64" s="3098" t="s">
        <v>299</v>
      </c>
      <c r="W64" s="3099"/>
      <c r="X64" s="3100"/>
      <c r="Y64" s="1836" t="s">
        <v>298</v>
      </c>
      <c r="Z64" s="3086" t="s">
        <v>1553</v>
      </c>
      <c r="AA64" s="3087"/>
      <c r="AB64" s="3088"/>
      <c r="AC64" s="1856"/>
      <c r="AD64" s="1855"/>
      <c r="AE64" s="1855"/>
      <c r="AF64" s="1855"/>
      <c r="AG64" s="1854"/>
    </row>
    <row r="65" spans="1:33" s="1658" customFormat="1" ht="15" customHeight="1">
      <c r="A65" s="1853"/>
      <c r="B65" s="1852"/>
      <c r="C65" s="3076" t="s">
        <v>391</v>
      </c>
      <c r="D65" s="3077"/>
      <c r="E65" s="3078"/>
      <c r="F65" s="3076" t="s">
        <v>390</v>
      </c>
      <c r="G65" s="3077"/>
      <c r="H65" s="3078"/>
      <c r="I65" s="1840"/>
      <c r="J65" s="1689"/>
      <c r="K65" s="1689"/>
      <c r="L65" s="1689"/>
      <c r="M65" s="1689"/>
      <c r="N65" s="1689"/>
      <c r="O65" s="1689"/>
      <c r="P65" s="1689"/>
      <c r="Q65" s="1689"/>
      <c r="R65" s="1689"/>
      <c r="S65" s="1689"/>
      <c r="T65" s="1689"/>
      <c r="U65" s="1839" t="s">
        <v>297</v>
      </c>
      <c r="V65" s="1838" t="s">
        <v>1667</v>
      </c>
      <c r="W65" s="1837"/>
      <c r="X65" s="1837"/>
      <c r="Y65" s="1851"/>
      <c r="Z65" s="3089"/>
      <c r="AA65" s="3090"/>
      <c r="AB65" s="3091"/>
      <c r="AC65" s="1842"/>
      <c r="AD65" s="1835"/>
      <c r="AE65" s="1835"/>
      <c r="AF65" s="1835"/>
      <c r="AG65" s="1834"/>
    </row>
    <row r="66" spans="1:33" s="1658" customFormat="1" ht="17.25" customHeight="1">
      <c r="A66" s="1703" t="str">
        <f>IF(C19="sugar cane", "N2O from trash burning","")</f>
        <v/>
      </c>
      <c r="B66" s="1702"/>
      <c r="C66" s="1850" t="str">
        <f>IF(C19="sugar cane",F66*28/44,"")</f>
        <v/>
      </c>
      <c r="D66" s="1849"/>
      <c r="E66" s="1849"/>
      <c r="F66" s="1848" t="str">
        <f>IF(C19="sugar cane",0.00825*C20/1000,"")</f>
        <v/>
      </c>
      <c r="G66" s="1847"/>
      <c r="H66" s="1846"/>
      <c r="I66" s="1845"/>
      <c r="J66" s="1689"/>
      <c r="K66" s="1689"/>
      <c r="L66" s="1689"/>
      <c r="M66" s="1689"/>
      <c r="N66" s="1689"/>
      <c r="O66" s="1689"/>
      <c r="P66" s="1689"/>
      <c r="Q66" s="1689"/>
      <c r="R66" s="1689"/>
      <c r="S66" s="1689"/>
      <c r="T66" s="1689"/>
      <c r="U66" s="1839" t="s">
        <v>297</v>
      </c>
      <c r="V66" s="1838" t="s">
        <v>1667</v>
      </c>
      <c r="W66" s="1837"/>
      <c r="X66" s="1837"/>
      <c r="Y66" s="1836" t="s">
        <v>379</v>
      </c>
      <c r="Z66" s="3092" t="s">
        <v>378</v>
      </c>
      <c r="AA66" s="3093"/>
      <c r="AB66" s="3094"/>
      <c r="AC66" s="1842"/>
      <c r="AD66" s="1835"/>
      <c r="AE66" s="1835"/>
      <c r="AF66" s="1835"/>
      <c r="AG66" s="1834"/>
    </row>
    <row r="67" spans="1:33" s="1658" customFormat="1" ht="15.75" customHeight="1">
      <c r="A67" s="1841" t="s">
        <v>377</v>
      </c>
      <c r="B67" s="1702"/>
      <c r="C67" s="1702"/>
      <c r="D67" s="1702"/>
      <c r="E67" s="1702"/>
      <c r="F67" s="1844"/>
      <c r="G67" s="1702"/>
      <c r="H67" s="1702"/>
      <c r="I67" s="1840"/>
      <c r="J67" s="1689"/>
      <c r="K67" s="1689"/>
      <c r="L67" s="1689"/>
      <c r="M67" s="1689"/>
      <c r="N67" s="1689"/>
      <c r="O67" s="1689"/>
      <c r="P67" s="1689"/>
      <c r="Q67" s="1689"/>
      <c r="R67" s="1689"/>
      <c r="S67" s="1689"/>
      <c r="T67" s="1689"/>
      <c r="U67" s="1839" t="s">
        <v>1224</v>
      </c>
      <c r="V67" s="3101" t="s">
        <v>376</v>
      </c>
      <c r="W67" s="3101"/>
      <c r="X67" s="3101"/>
      <c r="Y67" s="1836" t="s">
        <v>375</v>
      </c>
      <c r="Z67" s="1843" t="s">
        <v>374</v>
      </c>
      <c r="AA67" s="1843"/>
      <c r="AB67" s="1843"/>
      <c r="AC67" s="1842"/>
      <c r="AD67" s="1835"/>
      <c r="AE67" s="1835"/>
      <c r="AF67" s="1835"/>
      <c r="AG67" s="1834"/>
    </row>
    <row r="68" spans="1:33" s="1658" customFormat="1" ht="20.25" customHeight="1">
      <c r="A68" s="1841"/>
      <c r="B68" s="1702"/>
      <c r="C68" s="3076" t="s">
        <v>391</v>
      </c>
      <c r="D68" s="3077"/>
      <c r="E68" s="3078"/>
      <c r="F68" s="3076" t="s">
        <v>390</v>
      </c>
      <c r="G68" s="3077"/>
      <c r="H68" s="3078"/>
      <c r="I68" s="1840"/>
      <c r="J68" s="1689"/>
      <c r="K68" s="1689"/>
      <c r="L68" s="1689"/>
      <c r="M68" s="1689"/>
      <c r="N68" s="1689"/>
      <c r="O68" s="1689"/>
      <c r="P68" s="1689"/>
      <c r="Q68" s="1689"/>
      <c r="R68" s="1689"/>
      <c r="S68" s="1689"/>
      <c r="T68" s="1689"/>
      <c r="U68" s="1839" t="s">
        <v>1031</v>
      </c>
      <c r="V68" s="3101" t="s">
        <v>373</v>
      </c>
      <c r="W68" s="3101"/>
      <c r="X68" s="3101"/>
      <c r="Y68" s="1836" t="s">
        <v>372</v>
      </c>
      <c r="Z68" s="3092" t="s">
        <v>1670</v>
      </c>
      <c r="AA68" s="3093"/>
      <c r="AB68" s="3094"/>
      <c r="AC68" s="1842"/>
      <c r="AD68" s="1835"/>
      <c r="AE68" s="1835"/>
      <c r="AF68" s="1835"/>
      <c r="AG68" s="1834"/>
    </row>
    <row r="69" spans="1:33" s="1658" customFormat="1" ht="15" customHeight="1">
      <c r="A69" s="1841"/>
      <c r="B69" s="1702"/>
      <c r="C69" s="1698" t="s">
        <v>389</v>
      </c>
      <c r="D69" s="1697" t="s">
        <v>1069</v>
      </c>
      <c r="E69" s="1696" t="s">
        <v>1070</v>
      </c>
      <c r="F69" s="1698" t="s">
        <v>389</v>
      </c>
      <c r="G69" s="1697" t="s">
        <v>1069</v>
      </c>
      <c r="H69" s="1696" t="s">
        <v>1070</v>
      </c>
      <c r="I69" s="1840"/>
      <c r="J69" s="1689"/>
      <c r="K69" s="1689"/>
      <c r="L69" s="1689"/>
      <c r="M69" s="1689"/>
      <c r="N69" s="1689"/>
      <c r="O69" s="1689"/>
      <c r="P69" s="1689"/>
      <c r="Q69" s="1689"/>
      <c r="R69" s="1689"/>
      <c r="S69" s="1689"/>
      <c r="T69" s="1689"/>
      <c r="U69" s="1839" t="s">
        <v>1227</v>
      </c>
      <c r="V69" s="1838" t="s">
        <v>1668</v>
      </c>
      <c r="W69" s="1837"/>
      <c r="X69" s="1837"/>
      <c r="Y69" s="1836" t="s">
        <v>1236</v>
      </c>
      <c r="Z69" s="3092" t="s">
        <v>371</v>
      </c>
      <c r="AA69" s="3093"/>
      <c r="AB69" s="3094"/>
      <c r="AC69" s="3085" t="s">
        <v>396</v>
      </c>
      <c r="AD69" s="3085"/>
      <c r="AE69" s="3085"/>
      <c r="AF69" s="1835"/>
      <c r="AG69" s="1834"/>
    </row>
    <row r="70" spans="1:33" s="1658" customFormat="1" ht="21.75" customHeight="1" thickBot="1">
      <c r="A70" s="1833" t="s">
        <v>370</v>
      </c>
      <c r="B70" s="1672"/>
      <c r="C70" s="1832" t="e">
        <f t="shared" ref="C70:H70" si="5">IF($C$19="Sugar cane",SUM(C62,C66),C62)</f>
        <v>#DIV/0!</v>
      </c>
      <c r="D70" s="1831" t="e">
        <f t="shared" si="5"/>
        <v>#DIV/0!</v>
      </c>
      <c r="E70" s="1831" t="e">
        <f t="shared" si="5"/>
        <v>#DIV/0!</v>
      </c>
      <c r="F70" s="1832" t="e">
        <f t="shared" si="5"/>
        <v>#DIV/0!</v>
      </c>
      <c r="G70" s="1831" t="e">
        <f t="shared" si="5"/>
        <v>#DIV/0!</v>
      </c>
      <c r="H70" s="1830" t="e">
        <f t="shared" si="5"/>
        <v>#DIV/0!</v>
      </c>
      <c r="I70" s="1671"/>
      <c r="J70" s="1689"/>
      <c r="K70" s="1689"/>
      <c r="L70" s="1689"/>
      <c r="M70" s="1689"/>
      <c r="N70" s="1689"/>
      <c r="O70" s="1689"/>
      <c r="P70" s="1689"/>
      <c r="Q70" s="1689"/>
      <c r="R70" s="1689"/>
      <c r="S70" s="1689"/>
      <c r="T70" s="1689"/>
      <c r="U70" s="1829" t="s">
        <v>369</v>
      </c>
      <c r="V70" s="1828" t="s">
        <v>368</v>
      </c>
      <c r="W70" s="1827"/>
      <c r="X70" s="1827"/>
      <c r="Y70" s="3095"/>
      <c r="Z70" s="3096"/>
      <c r="AA70" s="3096"/>
      <c r="AB70" s="3097"/>
      <c r="AC70" s="1826"/>
      <c r="AD70" s="1825"/>
      <c r="AE70" s="1825"/>
      <c r="AF70" s="1825"/>
      <c r="AG70" s="1824"/>
    </row>
    <row r="71" spans="1:33" s="1658" customFormat="1">
      <c r="A71" s="1823"/>
      <c r="B71" s="1822"/>
      <c r="C71" s="1822"/>
      <c r="D71" s="1822"/>
      <c r="E71" s="1822"/>
      <c r="F71" s="1822"/>
      <c r="G71" s="1822"/>
      <c r="H71" s="1822"/>
      <c r="I71" s="1821"/>
      <c r="J71" s="1689"/>
      <c r="K71" s="1689"/>
      <c r="L71" s="1689"/>
      <c r="M71" s="1689"/>
      <c r="N71" s="1689"/>
      <c r="O71" s="1689"/>
      <c r="P71" s="1689"/>
      <c r="Q71" s="1689"/>
      <c r="R71" s="1689"/>
      <c r="S71" s="1689"/>
      <c r="T71" s="1689"/>
      <c r="U71" s="1689"/>
      <c r="V71" s="1689"/>
      <c r="W71" s="1689"/>
      <c r="X71" s="1689"/>
      <c r="Y71" s="1689"/>
      <c r="Z71" s="1689"/>
      <c r="AA71" s="1689"/>
      <c r="AB71" s="1689"/>
      <c r="AC71" s="1689"/>
    </row>
    <row r="72" spans="1:33" s="1658" customFormat="1" ht="21" customHeight="1" thickBot="1">
      <c r="A72" s="1689"/>
      <c r="B72" s="1689"/>
      <c r="C72" s="1820"/>
      <c r="D72" s="1689"/>
      <c r="E72" s="1689"/>
      <c r="F72" s="1820"/>
      <c r="G72" s="1689"/>
      <c r="H72" s="1689"/>
      <c r="I72" s="1689"/>
      <c r="J72" s="1689"/>
      <c r="W72" s="1689"/>
      <c r="X72" s="1689"/>
      <c r="Y72" s="1689"/>
      <c r="Z72" s="1689"/>
      <c r="AA72" s="1689"/>
      <c r="AB72" s="1689"/>
      <c r="AC72" s="1689"/>
    </row>
    <row r="73" spans="1:33" s="1658" customFormat="1" ht="14.25">
      <c r="A73" s="1819" t="s">
        <v>367</v>
      </c>
      <c r="B73" s="1818"/>
      <c r="C73" s="1817" t="s">
        <v>13</v>
      </c>
      <c r="D73" s="1815"/>
      <c r="E73" s="1816"/>
      <c r="F73" s="1815"/>
      <c r="G73" s="1815"/>
      <c r="H73" s="1815"/>
      <c r="I73" s="1814"/>
      <c r="J73" s="1689"/>
      <c r="K73" s="1813" t="s">
        <v>366</v>
      </c>
      <c r="L73" s="3060" t="s">
        <v>365</v>
      </c>
      <c r="M73" s="3060"/>
      <c r="N73" s="1812" t="s">
        <v>1050</v>
      </c>
      <c r="O73" s="1811" t="s">
        <v>364</v>
      </c>
      <c r="P73" s="1689"/>
      <c r="Q73" s="1813" t="s">
        <v>363</v>
      </c>
      <c r="R73" s="1812" t="s">
        <v>362</v>
      </c>
      <c r="S73" s="1812" t="s">
        <v>1051</v>
      </c>
      <c r="T73" s="1812"/>
      <c r="U73" s="1811" t="s">
        <v>361</v>
      </c>
      <c r="V73" s="1689"/>
      <c r="W73" s="1810" t="s">
        <v>360</v>
      </c>
      <c r="X73" s="1809" t="s">
        <v>359</v>
      </c>
      <c r="Y73" s="1809"/>
      <c r="Z73" s="1808" t="s">
        <v>358</v>
      </c>
      <c r="AA73" s="1808"/>
      <c r="AB73" s="1808"/>
      <c r="AC73" s="1808"/>
      <c r="AD73" s="1808"/>
      <c r="AE73" s="1807"/>
    </row>
    <row r="74" spans="1:33" s="1720" customFormat="1" ht="15.75">
      <c r="A74" s="1806"/>
      <c r="B74" s="1805"/>
      <c r="C74" s="1805"/>
      <c r="D74" s="1805"/>
      <c r="E74" s="1805"/>
      <c r="F74" s="1805"/>
      <c r="G74" s="1805"/>
      <c r="H74" s="1805"/>
      <c r="I74" s="1804"/>
      <c r="J74" s="1718"/>
      <c r="K74" s="1803"/>
      <c r="L74" s="1802" t="s">
        <v>389</v>
      </c>
      <c r="M74" s="1801" t="s">
        <v>1343</v>
      </c>
      <c r="N74" s="1801" t="s">
        <v>1070</v>
      </c>
      <c r="O74" s="1800"/>
      <c r="P74" s="1689"/>
      <c r="Q74" s="1803"/>
      <c r="R74" s="1802" t="s">
        <v>1340</v>
      </c>
      <c r="S74" s="1801" t="s">
        <v>1343</v>
      </c>
      <c r="T74" s="1801" t="s">
        <v>1070</v>
      </c>
      <c r="U74" s="1800"/>
      <c r="V74" s="1689"/>
      <c r="W74" s="1799" t="s">
        <v>1082</v>
      </c>
      <c r="X74" s="1798" t="s">
        <v>357</v>
      </c>
      <c r="Y74" s="1797"/>
      <c r="Z74" s="1796"/>
      <c r="AA74" s="1796"/>
      <c r="AB74" s="1796"/>
      <c r="AC74" s="1796"/>
      <c r="AD74" s="1796"/>
      <c r="AE74" s="1795"/>
    </row>
    <row r="75" spans="1:33" s="1658" customFormat="1" ht="15.75">
      <c r="A75" s="1736"/>
      <c r="B75" s="1735"/>
      <c r="C75" s="1794"/>
      <c r="D75" s="1794"/>
      <c r="E75" s="1794"/>
      <c r="F75" s="1762"/>
      <c r="G75" s="1762"/>
      <c r="H75" s="1762"/>
      <c r="I75" s="1793"/>
      <c r="K75" s="1750" t="s">
        <v>1082</v>
      </c>
      <c r="L75" s="1791">
        <f>C52</f>
        <v>119.7</v>
      </c>
      <c r="M75" s="3054" t="s">
        <v>356</v>
      </c>
      <c r="N75" s="3055"/>
      <c r="O75" s="1747" t="s">
        <v>347</v>
      </c>
      <c r="P75" s="1689"/>
      <c r="Q75" s="1750" t="s">
        <v>1082</v>
      </c>
      <c r="R75" s="1758">
        <f>C52</f>
        <v>119.7</v>
      </c>
      <c r="S75" s="3054" t="s">
        <v>356</v>
      </c>
      <c r="T75" s="3055"/>
      <c r="U75" s="1747" t="s">
        <v>347</v>
      </c>
      <c r="V75" s="1718"/>
      <c r="W75" s="1746" t="s">
        <v>1042</v>
      </c>
      <c r="X75" s="1776" t="s">
        <v>355</v>
      </c>
      <c r="Y75" s="1788"/>
      <c r="Z75" s="1787"/>
      <c r="AA75" s="1787"/>
      <c r="AB75" s="1787"/>
      <c r="AC75" s="1787"/>
      <c r="AD75" s="1787"/>
      <c r="AE75" s="1753"/>
    </row>
    <row r="76" spans="1:33" s="1658" customFormat="1" ht="15.75">
      <c r="A76" s="1736"/>
      <c r="B76" s="1735"/>
      <c r="C76" s="1701" t="s">
        <v>389</v>
      </c>
      <c r="D76" s="1700" t="s">
        <v>1069</v>
      </c>
      <c r="E76" s="1699" t="s">
        <v>1070</v>
      </c>
      <c r="F76" s="1762"/>
      <c r="G76" s="1792"/>
      <c r="H76" s="1792"/>
      <c r="I76" s="1725"/>
      <c r="K76" s="1750" t="s">
        <v>1042</v>
      </c>
      <c r="L76" s="1791">
        <f>C53</f>
        <v>0</v>
      </c>
      <c r="M76" s="3054" t="s">
        <v>354</v>
      </c>
      <c r="N76" s="3055"/>
      <c r="O76" s="1747" t="s">
        <v>347</v>
      </c>
      <c r="P76" s="1689"/>
      <c r="Q76" s="1750" t="s">
        <v>1042</v>
      </c>
      <c r="R76" s="1790">
        <f>C53</f>
        <v>0</v>
      </c>
      <c r="S76" s="3054" t="s">
        <v>354</v>
      </c>
      <c r="T76" s="3055"/>
      <c r="U76" s="1747" t="s">
        <v>347</v>
      </c>
      <c r="V76" s="1689"/>
      <c r="W76" s="1746" t="s">
        <v>1044</v>
      </c>
      <c r="X76" s="1789" t="s">
        <v>1671</v>
      </c>
      <c r="Y76" s="1788"/>
      <c r="Z76" s="1787"/>
      <c r="AA76" s="1787"/>
      <c r="AB76" s="1787"/>
      <c r="AC76" s="1787"/>
      <c r="AD76" s="1787"/>
      <c r="AE76" s="1753"/>
    </row>
    <row r="77" spans="1:33" s="1658" customFormat="1" ht="15.75">
      <c r="A77" s="1785" t="s">
        <v>353</v>
      </c>
      <c r="B77" s="1701" t="s">
        <v>352</v>
      </c>
      <c r="C77" s="1784">
        <f>L79</f>
        <v>11.97</v>
      </c>
      <c r="D77" s="1783">
        <f>M79</f>
        <v>3.5909999999999997</v>
      </c>
      <c r="E77" s="1782">
        <f>N79</f>
        <v>35.909999999999997</v>
      </c>
      <c r="F77" s="1762"/>
      <c r="G77" s="1762"/>
      <c r="H77" s="1762"/>
      <c r="I77" s="1725"/>
      <c r="K77" s="1750" t="s">
        <v>1052</v>
      </c>
      <c r="L77" s="1778">
        <v>0.2</v>
      </c>
      <c r="M77" s="1777">
        <v>0.05</v>
      </c>
      <c r="N77" s="1777">
        <v>0.5</v>
      </c>
      <c r="O77" s="1747"/>
      <c r="P77" s="1689"/>
      <c r="Q77" s="1750" t="s">
        <v>1044</v>
      </c>
      <c r="R77" s="1786" t="e">
        <f>C54</f>
        <v>#DIV/0!</v>
      </c>
      <c r="S77" s="3054" t="s">
        <v>351</v>
      </c>
      <c r="T77" s="3055"/>
      <c r="U77" s="1747" t="s">
        <v>347</v>
      </c>
      <c r="V77" s="1689"/>
      <c r="W77" s="1746" t="s">
        <v>1045</v>
      </c>
      <c r="X77" s="3081" t="s">
        <v>1672</v>
      </c>
      <c r="Y77" s="3082"/>
      <c r="Z77" s="3082"/>
      <c r="AA77" s="3082"/>
      <c r="AB77" s="3082"/>
      <c r="AC77" s="3082"/>
      <c r="AD77" s="3082"/>
      <c r="AE77" s="3083"/>
    </row>
    <row r="78" spans="1:33" s="1658" customFormat="1" ht="15.75">
      <c r="A78" s="1785" t="s">
        <v>350</v>
      </c>
      <c r="B78" s="1701" t="s">
        <v>349</v>
      </c>
      <c r="C78" s="1784">
        <v>0</v>
      </c>
      <c r="D78" s="1783">
        <v>0</v>
      </c>
      <c r="E78" s="1782">
        <v>0</v>
      </c>
      <c r="F78" s="1762"/>
      <c r="G78" s="1762"/>
      <c r="H78" s="1762"/>
      <c r="I78" s="1725"/>
      <c r="K78" s="1750" t="s">
        <v>1053</v>
      </c>
      <c r="L78" s="1778">
        <v>0.1</v>
      </c>
      <c r="M78" s="1777">
        <v>0.03</v>
      </c>
      <c r="N78" s="1777">
        <v>0.3</v>
      </c>
      <c r="O78" s="1747"/>
      <c r="P78" s="1689"/>
      <c r="Q78" s="1750" t="s">
        <v>1045</v>
      </c>
      <c r="R78" s="1758">
        <f>C55</f>
        <v>0</v>
      </c>
      <c r="S78" s="3054" t="s">
        <v>348</v>
      </c>
      <c r="T78" s="3055"/>
      <c r="U78" s="1747" t="s">
        <v>347</v>
      </c>
      <c r="V78" s="1689"/>
      <c r="W78" s="1746"/>
      <c r="X78" s="3084"/>
      <c r="Y78" s="3082"/>
      <c r="Z78" s="3082"/>
      <c r="AA78" s="3082"/>
      <c r="AB78" s="3082"/>
      <c r="AC78" s="3082"/>
      <c r="AD78" s="3082"/>
      <c r="AE78" s="3083"/>
    </row>
    <row r="79" spans="1:33" s="1658" customFormat="1" ht="16.5" customHeight="1">
      <c r="A79" s="1736"/>
      <c r="B79" s="1735"/>
      <c r="C79" s="1735"/>
      <c r="D79" s="1781"/>
      <c r="E79" s="1781"/>
      <c r="F79" s="1735"/>
      <c r="G79" s="1735"/>
      <c r="H79" s="1735"/>
      <c r="I79" s="1725"/>
      <c r="K79" s="1773" t="s">
        <v>1277</v>
      </c>
      <c r="L79" s="1780">
        <f>($L75*L78+$L76*L77)</f>
        <v>11.97</v>
      </c>
      <c r="M79" s="1771">
        <f>($L75*M78+$L76*M77)</f>
        <v>3.5909999999999997</v>
      </c>
      <c r="N79" s="1771">
        <f>($L75*N78+$L76*N77)</f>
        <v>35.909999999999997</v>
      </c>
      <c r="O79" s="1779" t="s">
        <v>346</v>
      </c>
      <c r="P79" s="1689"/>
      <c r="Q79" s="1750" t="s">
        <v>1055</v>
      </c>
      <c r="R79" s="1778">
        <f>IF(C25="no",0,0.3)</f>
        <v>0.3</v>
      </c>
      <c r="S79" s="1777">
        <f>IF(C25="no",0,0.1)</f>
        <v>0.1</v>
      </c>
      <c r="T79" s="1777">
        <f>IF(C25="no",0,0.8)</f>
        <v>0.8</v>
      </c>
      <c r="U79" s="1747"/>
      <c r="V79" s="1689"/>
      <c r="W79" s="1746" t="s">
        <v>1055</v>
      </c>
      <c r="X79" s="2673" t="s">
        <v>1554</v>
      </c>
      <c r="Y79" s="1769"/>
      <c r="Z79" s="1754"/>
      <c r="AA79" s="1754"/>
      <c r="AB79" s="1754"/>
      <c r="AC79" s="1754"/>
      <c r="AD79" s="1754"/>
      <c r="AE79" s="1753"/>
    </row>
    <row r="80" spans="1:33" s="1658" customFormat="1" ht="18" customHeight="1">
      <c r="A80" s="1767" t="s">
        <v>345</v>
      </c>
      <c r="B80" s="1766" t="s">
        <v>1208</v>
      </c>
      <c r="C80" s="1775">
        <f>L82</f>
        <v>0.01</v>
      </c>
      <c r="D80" s="1764">
        <f>M82</f>
        <v>2E-3</v>
      </c>
      <c r="E80" s="1763">
        <f>N82</f>
        <v>0.05</v>
      </c>
      <c r="F80" s="1762"/>
      <c r="G80" s="1762"/>
      <c r="H80" s="1762"/>
      <c r="I80" s="1725"/>
      <c r="K80" s="1761"/>
      <c r="L80" s="1760"/>
      <c r="M80" s="1759"/>
      <c r="N80" s="1759"/>
      <c r="O80" s="1774"/>
      <c r="P80" s="1689"/>
      <c r="Q80" s="1773" t="s">
        <v>1278</v>
      </c>
      <c r="R80" s="1772" t="e">
        <f>SUM($R75:$R78)*R79</f>
        <v>#DIV/0!</v>
      </c>
      <c r="S80" s="1771" t="e">
        <f>SUM($R75:$R78)*S79</f>
        <v>#DIV/0!</v>
      </c>
      <c r="T80" s="1771" t="e">
        <f>SUM($R75:$R78)*T79</f>
        <v>#DIV/0!</v>
      </c>
      <c r="U80" s="1770" t="s">
        <v>344</v>
      </c>
      <c r="V80" s="1689"/>
      <c r="W80" s="1746" t="s">
        <v>1052</v>
      </c>
      <c r="X80" s="2672" t="s">
        <v>1555</v>
      </c>
      <c r="Y80" s="1754"/>
      <c r="Z80" s="1769"/>
      <c r="AA80" s="1769"/>
      <c r="AB80" s="1769"/>
      <c r="AC80" s="1769"/>
      <c r="AD80" s="1769"/>
      <c r="AE80" s="1768"/>
    </row>
    <row r="81" spans="1:35" s="1658" customFormat="1" ht="15.75">
      <c r="A81" s="1767" t="s">
        <v>342</v>
      </c>
      <c r="B81" s="1766" t="s">
        <v>1209</v>
      </c>
      <c r="C81" s="1765">
        <f>R82</f>
        <v>7.4999999999999997E-3</v>
      </c>
      <c r="D81" s="1764">
        <f>S82</f>
        <v>5.0000000000000001E-4</v>
      </c>
      <c r="E81" s="1763">
        <f>T82</f>
        <v>2.5000000000000001E-2</v>
      </c>
      <c r="F81" s="1762"/>
      <c r="G81" s="1762"/>
      <c r="H81" s="1762"/>
      <c r="I81" s="1725"/>
      <c r="K81" s="1761"/>
      <c r="L81" s="1760"/>
      <c r="M81" s="1759"/>
      <c r="N81" s="1759"/>
      <c r="O81" s="1747"/>
      <c r="P81" s="1689"/>
      <c r="Q81" s="1750"/>
      <c r="R81" s="1758"/>
      <c r="S81" s="1757"/>
      <c r="T81" s="1757"/>
      <c r="U81" s="1747"/>
      <c r="V81" s="1689"/>
      <c r="W81" s="1746" t="s">
        <v>1053</v>
      </c>
      <c r="X81" s="1756" t="s">
        <v>341</v>
      </c>
      <c r="Y81" s="1755"/>
      <c r="Z81" s="1754"/>
      <c r="AA81" s="1754"/>
      <c r="AB81" s="1754"/>
      <c r="AC81" s="1754"/>
      <c r="AD81" s="1754"/>
      <c r="AE81" s="1753"/>
    </row>
    <row r="82" spans="1:35" s="1658" customFormat="1" ht="15.75">
      <c r="A82" s="1736"/>
      <c r="B82" s="1735"/>
      <c r="C82" s="1735"/>
      <c r="D82" s="1735"/>
      <c r="E82" s="1735"/>
      <c r="F82" s="1735"/>
      <c r="G82" s="1735"/>
      <c r="H82" s="1735"/>
      <c r="I82" s="1725"/>
      <c r="K82" s="1750" t="s">
        <v>1054</v>
      </c>
      <c r="L82" s="1752">
        <v>0.01</v>
      </c>
      <c r="M82" s="1751">
        <v>2E-3</v>
      </c>
      <c r="N82" s="1751">
        <v>0.05</v>
      </c>
      <c r="O82" s="1747" t="s">
        <v>1344</v>
      </c>
      <c r="P82" s="1689"/>
      <c r="Q82" s="1750" t="s">
        <v>1056</v>
      </c>
      <c r="R82" s="1749">
        <v>7.4999999999999997E-3</v>
      </c>
      <c r="S82" s="1748">
        <v>5.0000000000000001E-4</v>
      </c>
      <c r="T82" s="1748">
        <v>2.5000000000000001E-2</v>
      </c>
      <c r="U82" s="1747" t="s">
        <v>1344</v>
      </c>
      <c r="V82" s="1689"/>
      <c r="W82" s="1746"/>
      <c r="X82" s="1745"/>
      <c r="Y82" s="1744"/>
      <c r="Z82" s="1744"/>
      <c r="AA82" s="1744"/>
      <c r="AB82" s="1744"/>
      <c r="AC82" s="1744"/>
      <c r="AD82" s="1744"/>
      <c r="AE82" s="1743"/>
    </row>
    <row r="83" spans="1:35" s="1658" customFormat="1" ht="13.5" thickBot="1">
      <c r="A83" s="1736"/>
      <c r="B83" s="1735"/>
      <c r="C83" s="1735"/>
      <c r="D83" s="1735"/>
      <c r="E83" s="1735"/>
      <c r="F83" s="1735"/>
      <c r="G83" s="1735"/>
      <c r="H83" s="1735"/>
      <c r="I83" s="1725"/>
      <c r="K83" s="1742" t="s">
        <v>396</v>
      </c>
      <c r="L83" s="1741"/>
      <c r="M83" s="1741"/>
      <c r="N83" s="1741"/>
      <c r="O83" s="1740"/>
      <c r="P83" s="1718"/>
      <c r="Q83" s="1742" t="s">
        <v>396</v>
      </c>
      <c r="R83" s="1741"/>
      <c r="S83" s="1741"/>
      <c r="T83" s="1741"/>
      <c r="U83" s="1740"/>
      <c r="V83" s="1689"/>
      <c r="W83" s="1739"/>
      <c r="X83" s="1738"/>
      <c r="Y83" s="1738"/>
      <c r="Z83" s="1738"/>
      <c r="AA83" s="1738"/>
      <c r="AB83" s="1738"/>
      <c r="AC83" s="1738"/>
      <c r="AD83" s="1738"/>
      <c r="AE83" s="1737"/>
    </row>
    <row r="84" spans="1:35" s="1658" customFormat="1" ht="15.75">
      <c r="A84" s="1736"/>
      <c r="B84" s="1735"/>
      <c r="C84" s="3076" t="s">
        <v>391</v>
      </c>
      <c r="D84" s="3077"/>
      <c r="E84" s="3078"/>
      <c r="F84" s="3076" t="s">
        <v>390</v>
      </c>
      <c r="G84" s="3077"/>
      <c r="H84" s="3078"/>
      <c r="I84" s="1725"/>
      <c r="V84" s="1689"/>
      <c r="W84" s="1689"/>
      <c r="X84" s="1689"/>
      <c r="Y84" s="1689"/>
      <c r="Z84" s="1689"/>
      <c r="AA84" s="1689"/>
      <c r="AB84" s="1689"/>
      <c r="AC84" s="1689"/>
    </row>
    <row r="85" spans="1:35" s="1720" customFormat="1" ht="27">
      <c r="A85" s="1734" t="s">
        <v>395</v>
      </c>
      <c r="B85" s="1701" t="s">
        <v>394</v>
      </c>
      <c r="C85" s="1695">
        <f t="shared" ref="C85:E86" si="6">C77*C80</f>
        <v>0.11970000000000001</v>
      </c>
      <c r="D85" s="1733">
        <f t="shared" si="6"/>
        <v>7.182E-3</v>
      </c>
      <c r="E85" s="1693">
        <f t="shared" si="6"/>
        <v>1.7954999999999999</v>
      </c>
      <c r="F85" s="1732">
        <f t="shared" ref="F85:H86" si="7">C85*44/28</f>
        <v>0.18810000000000002</v>
      </c>
      <c r="G85" s="1694">
        <f t="shared" si="7"/>
        <v>1.1286000000000001E-2</v>
      </c>
      <c r="H85" s="1693">
        <f t="shared" si="7"/>
        <v>2.8214999999999999</v>
      </c>
      <c r="I85" s="1725"/>
      <c r="J85" s="1718"/>
      <c r="V85" s="1718"/>
      <c r="W85" s="1718"/>
      <c r="X85" s="1718"/>
      <c r="Y85" s="1718"/>
      <c r="Z85" s="1718"/>
      <c r="AA85" s="1718"/>
      <c r="AB85" s="1718"/>
      <c r="AC85" s="1718"/>
    </row>
    <row r="86" spans="1:35" s="1720" customFormat="1" ht="28.5" customHeight="1">
      <c r="A86" s="1731" t="s">
        <v>393</v>
      </c>
      <c r="B86" s="1701" t="s">
        <v>392</v>
      </c>
      <c r="C86" s="1730">
        <f t="shared" si="6"/>
        <v>0</v>
      </c>
      <c r="D86" s="1729">
        <f t="shared" si="6"/>
        <v>0</v>
      </c>
      <c r="E86" s="1726">
        <f t="shared" si="6"/>
        <v>0</v>
      </c>
      <c r="F86" s="1728">
        <f t="shared" si="7"/>
        <v>0</v>
      </c>
      <c r="G86" s="1727">
        <f t="shared" si="7"/>
        <v>0</v>
      </c>
      <c r="H86" s="1726">
        <f t="shared" si="7"/>
        <v>0</v>
      </c>
      <c r="I86" s="1725"/>
      <c r="J86" s="1718"/>
      <c r="V86" s="1718"/>
      <c r="W86" s="1718"/>
      <c r="X86" s="1718"/>
      <c r="Y86" s="1718"/>
      <c r="Z86" s="1718"/>
      <c r="AA86" s="1718"/>
      <c r="AB86" s="1718"/>
      <c r="AC86" s="1718"/>
    </row>
    <row r="87" spans="1:35" s="1720" customFormat="1" ht="13.5" thickBot="1">
      <c r="A87" s="1724"/>
      <c r="B87" s="1723"/>
      <c r="C87" s="1722"/>
      <c r="D87" s="1672"/>
      <c r="E87" s="1672"/>
      <c r="F87" s="1722"/>
      <c r="G87" s="1672"/>
      <c r="H87" s="1672"/>
      <c r="I87" s="1721"/>
      <c r="J87" s="1718"/>
      <c r="K87" s="1718"/>
      <c r="L87" s="1718"/>
      <c r="M87" s="1718"/>
      <c r="N87" s="1718"/>
      <c r="O87" s="1718"/>
      <c r="P87" s="1718"/>
      <c r="Q87" s="1718"/>
      <c r="R87" s="1718"/>
      <c r="S87" s="1718"/>
      <c r="T87" s="1718"/>
      <c r="U87" s="1718"/>
      <c r="V87" s="1718"/>
      <c r="W87" s="1718"/>
      <c r="X87" s="1718"/>
      <c r="Y87" s="1718"/>
      <c r="Z87" s="1718"/>
      <c r="AA87" s="1718"/>
      <c r="AB87" s="1718"/>
      <c r="AC87" s="1718"/>
    </row>
    <row r="88" spans="1:35" s="1658" customFormat="1" ht="13.5" thickBot="1">
      <c r="A88" s="1719"/>
      <c r="B88" s="1719"/>
      <c r="C88" s="1718"/>
      <c r="D88" s="1718"/>
      <c r="E88" s="1718"/>
      <c r="F88" s="1718"/>
      <c r="G88" s="1718"/>
      <c r="H88" s="1718"/>
      <c r="J88" s="1689"/>
      <c r="K88" s="1689"/>
      <c r="L88" s="1689"/>
      <c r="M88" s="1689"/>
      <c r="N88" s="1689"/>
      <c r="O88" s="1689"/>
      <c r="P88" s="1689"/>
      <c r="Q88" s="1689"/>
      <c r="R88" s="1689"/>
      <c r="S88" s="1689"/>
      <c r="T88" s="1689"/>
      <c r="U88" s="1689"/>
      <c r="V88" s="1689"/>
      <c r="W88" s="1689"/>
      <c r="X88" s="1689"/>
      <c r="Y88" s="1689"/>
      <c r="Z88" s="1689"/>
      <c r="AA88" s="1689"/>
      <c r="AB88" s="1689"/>
      <c r="AC88" s="1689"/>
    </row>
    <row r="89" spans="1:35" s="1658" customFormat="1" ht="17.25" customHeight="1">
      <c r="A89" s="1717" t="s">
        <v>1673</v>
      </c>
      <c r="B89" s="1716"/>
      <c r="C89" s="1715"/>
      <c r="D89" s="1715"/>
      <c r="E89" s="1715"/>
      <c r="F89" s="1714"/>
      <c r="G89" s="1713"/>
      <c r="H89" s="1712"/>
      <c r="I89" s="1711"/>
      <c r="J89" s="1689"/>
      <c r="K89" s="1689"/>
      <c r="L89" s="1689"/>
      <c r="M89" s="1689"/>
      <c r="N89" s="1689"/>
      <c r="O89" s="1689"/>
      <c r="P89" s="1689"/>
      <c r="Q89" s="1689"/>
      <c r="R89" s="1689"/>
      <c r="S89" s="1689"/>
      <c r="T89" s="1689"/>
      <c r="U89" s="1689"/>
      <c r="V89" s="1689"/>
      <c r="W89" s="1689"/>
      <c r="X89" s="1689"/>
      <c r="Y89" s="1689"/>
      <c r="Z89" s="1689"/>
      <c r="AA89" s="1689"/>
      <c r="AB89" s="1689"/>
      <c r="AC89" s="1689"/>
    </row>
    <row r="90" spans="1:35" s="1658" customFormat="1" ht="20.25" customHeight="1">
      <c r="A90" s="1710"/>
      <c r="B90" s="1709"/>
      <c r="C90" s="1708"/>
      <c r="D90" s="1708"/>
      <c r="E90" s="1708"/>
      <c r="F90" s="1708"/>
      <c r="G90" s="1708"/>
      <c r="H90" s="1708"/>
      <c r="I90" s="1707"/>
      <c r="J90" s="1689"/>
      <c r="K90" s="1689"/>
      <c r="L90" s="1689"/>
      <c r="M90" s="1689"/>
      <c r="N90" s="1689"/>
      <c r="O90" s="1689"/>
      <c r="P90" s="1689"/>
      <c r="Q90" s="1689"/>
      <c r="R90" s="1689"/>
      <c r="S90" s="1689"/>
      <c r="T90" s="1689"/>
      <c r="U90" s="1689"/>
      <c r="V90" s="1689"/>
      <c r="W90" s="1689"/>
      <c r="X90" s="1689"/>
      <c r="Y90" s="1689"/>
      <c r="Z90" s="1689"/>
      <c r="AA90" s="1689"/>
      <c r="AB90" s="1689"/>
      <c r="AC90" s="1689"/>
    </row>
    <row r="91" spans="1:35" s="1658" customFormat="1" ht="22.5" customHeight="1">
      <c r="A91" s="1706"/>
      <c r="B91" s="1705"/>
      <c r="C91" s="3076" t="s">
        <v>391</v>
      </c>
      <c r="D91" s="3079"/>
      <c r="E91" s="3080"/>
      <c r="F91" s="3076" t="s">
        <v>390</v>
      </c>
      <c r="G91" s="3079"/>
      <c r="H91" s="3080"/>
      <c r="I91" s="1704"/>
      <c r="J91" s="1689"/>
      <c r="K91" s="1689"/>
      <c r="L91" s="1689"/>
      <c r="M91" s="1689"/>
      <c r="N91" s="1689"/>
      <c r="O91" s="1689"/>
      <c r="P91" s="1689"/>
      <c r="Q91" s="1689"/>
      <c r="R91" s="1689"/>
      <c r="S91" s="1689"/>
      <c r="T91" s="1689"/>
      <c r="U91" s="1689"/>
      <c r="V91" s="1689"/>
      <c r="W91" s="1689"/>
      <c r="X91" s="1689"/>
      <c r="Y91" s="1689"/>
      <c r="Z91" s="1689"/>
      <c r="AA91" s="1689"/>
      <c r="AB91" s="1689"/>
      <c r="AC91" s="1689"/>
    </row>
    <row r="92" spans="1:35" s="1658" customFormat="1" ht="22.5" customHeight="1">
      <c r="A92" s="1703"/>
      <c r="B92" s="1702"/>
      <c r="C92" s="1701" t="s">
        <v>389</v>
      </c>
      <c r="D92" s="1700" t="s">
        <v>1069</v>
      </c>
      <c r="E92" s="1699" t="s">
        <v>1070</v>
      </c>
      <c r="F92" s="1698" t="s">
        <v>389</v>
      </c>
      <c r="G92" s="1697" t="s">
        <v>1069</v>
      </c>
      <c r="H92" s="1696" t="s">
        <v>1070</v>
      </c>
      <c r="I92" s="1674"/>
      <c r="J92" s="1689"/>
      <c r="K92" s="1689"/>
      <c r="L92" s="1689"/>
      <c r="M92" s="1689"/>
      <c r="N92" s="1689"/>
      <c r="O92" s="1689"/>
      <c r="P92" s="1689"/>
      <c r="Q92" s="1689"/>
      <c r="R92" s="1689"/>
      <c r="S92" s="1689"/>
      <c r="T92" s="1689"/>
      <c r="U92" s="1689"/>
      <c r="V92" s="1689"/>
      <c r="W92" s="1689"/>
      <c r="X92" s="1689"/>
      <c r="Y92" s="1689"/>
      <c r="Z92" s="1689"/>
      <c r="AA92" s="1689"/>
      <c r="AB92" s="1689"/>
      <c r="AC92" s="1689"/>
    </row>
    <row r="93" spans="1:35" s="1658" customFormat="1" ht="22.5" customHeight="1">
      <c r="A93" s="1681"/>
      <c r="B93" s="1678" t="s">
        <v>388</v>
      </c>
      <c r="C93" s="1695">
        <v>1.63</v>
      </c>
      <c r="D93" s="1694" t="e">
        <f>SUM(D70,D85,D86)</f>
        <v>#DIV/0!</v>
      </c>
      <c r="E93" s="1693" t="e">
        <f>SUM(E70,E85,E86)</f>
        <v>#DIV/0!</v>
      </c>
      <c r="F93" s="1695">
        <f t="shared" ref="F93:H95" si="8">C93*44/28</f>
        <v>2.5614285714285714</v>
      </c>
      <c r="G93" s="1694" t="e">
        <f t="shared" si="8"/>
        <v>#DIV/0!</v>
      </c>
      <c r="H93" s="1693" t="e">
        <f t="shared" si="8"/>
        <v>#DIV/0!</v>
      </c>
      <c r="I93" s="1674"/>
      <c r="J93" s="1689"/>
      <c r="K93" s="1689"/>
      <c r="L93" s="1689"/>
      <c r="M93" s="1689"/>
      <c r="N93" s="1689"/>
      <c r="O93" s="1689"/>
      <c r="P93" s="1689"/>
      <c r="Q93" s="1689"/>
      <c r="R93" s="1689"/>
      <c r="S93" s="1689"/>
      <c r="T93" s="1689"/>
      <c r="U93" s="1689"/>
      <c r="V93" s="1689"/>
      <c r="W93" s="1689"/>
      <c r="X93" s="1689"/>
      <c r="Y93" s="1689"/>
      <c r="Z93" s="1689"/>
      <c r="AA93" s="1689"/>
      <c r="AB93" s="1689"/>
      <c r="AC93" s="1689"/>
    </row>
    <row r="94" spans="1:35" s="1688" customFormat="1">
      <c r="A94" s="1681"/>
      <c r="B94" s="2667" t="s">
        <v>1550</v>
      </c>
      <c r="C94" s="1692">
        <f>C93/C22*1000</f>
        <v>9.468486784780715E-2</v>
      </c>
      <c r="D94" s="1691" t="e">
        <f>D93/C22*1000</f>
        <v>#DIV/0!</v>
      </c>
      <c r="E94" s="1690" t="e">
        <f>E93/C22*1000</f>
        <v>#DIV/0!</v>
      </c>
      <c r="F94" s="1692">
        <f t="shared" si="8"/>
        <v>0.14879050661798265</v>
      </c>
      <c r="G94" s="1691" t="e">
        <f t="shared" si="8"/>
        <v>#DIV/0!</v>
      </c>
      <c r="H94" s="1690" t="e">
        <f t="shared" si="8"/>
        <v>#DIV/0!</v>
      </c>
      <c r="I94" s="1674"/>
      <c r="J94" s="1689"/>
      <c r="K94" s="1689"/>
      <c r="L94" s="1689"/>
      <c r="M94" s="1689"/>
      <c r="N94" s="1689"/>
      <c r="O94" s="1689"/>
      <c r="P94" s="1689"/>
      <c r="Q94" s="1689"/>
      <c r="R94" s="1689"/>
      <c r="S94" s="1689"/>
      <c r="T94" s="1689"/>
      <c r="U94" s="1689"/>
      <c r="V94" s="1689"/>
      <c r="W94" s="1689"/>
      <c r="X94" s="1689"/>
      <c r="Y94" s="1689"/>
      <c r="Z94" s="1689"/>
      <c r="AA94" s="1689"/>
      <c r="AB94" s="1689"/>
      <c r="AC94" s="1689"/>
      <c r="AD94" s="1658"/>
      <c r="AE94" s="1658"/>
      <c r="AF94" s="1658"/>
      <c r="AG94" s="1658"/>
      <c r="AH94" s="1658"/>
      <c r="AI94" s="1658"/>
    </row>
    <row r="95" spans="1:35">
      <c r="A95" s="1681"/>
      <c r="B95" s="1678" t="s">
        <v>387</v>
      </c>
      <c r="C95" s="1687">
        <f>C94/VLOOKUP(C19,U50:AF61,12,FALSE)</f>
        <v>4.8308606044799559E-3</v>
      </c>
      <c r="D95" s="1686" t="e">
        <f>D94/VLOOKUP(C19,U50:AF57,12,FALSE)</f>
        <v>#DIV/0!</v>
      </c>
      <c r="E95" s="1685" t="e">
        <f>E94/VLOOKUP(C19,U50:AF57,12,FALSE)</f>
        <v>#DIV/0!</v>
      </c>
      <c r="F95" s="1684">
        <f t="shared" si="8"/>
        <v>7.5913523784685022E-3</v>
      </c>
      <c r="G95" s="1683" t="e">
        <f t="shared" si="8"/>
        <v>#DIV/0!</v>
      </c>
      <c r="H95" s="1682" t="e">
        <f t="shared" si="8"/>
        <v>#DIV/0!</v>
      </c>
      <c r="I95" s="1674"/>
      <c r="J95" s="1669"/>
      <c r="K95" s="1669"/>
      <c r="L95" s="1669"/>
      <c r="M95" s="1669"/>
      <c r="N95" s="1669"/>
      <c r="O95" s="1669"/>
      <c r="P95" s="1669"/>
      <c r="Q95" s="1669"/>
      <c r="R95" s="1669"/>
      <c r="S95" s="1669"/>
      <c r="T95" s="1669"/>
      <c r="U95" s="1669"/>
      <c r="V95" s="1669"/>
      <c r="W95" s="1669"/>
      <c r="X95" s="1669"/>
      <c r="Y95" s="1669"/>
      <c r="Z95" s="1669"/>
      <c r="AA95" s="1669"/>
      <c r="AB95" s="1669"/>
      <c r="AC95" s="1669"/>
      <c r="AD95" s="1668"/>
      <c r="AE95" s="1668"/>
      <c r="AF95" s="1668"/>
      <c r="AG95" s="1668"/>
      <c r="AH95" s="1668"/>
      <c r="AI95" s="1668"/>
    </row>
    <row r="96" spans="1:35">
      <c r="A96" s="1681"/>
      <c r="B96" s="1678"/>
      <c r="C96" s="1678"/>
      <c r="D96" s="1678"/>
      <c r="E96" s="1678"/>
      <c r="F96" s="1678"/>
      <c r="G96" s="1678"/>
      <c r="H96" s="1678"/>
      <c r="I96" s="1674"/>
      <c r="J96" s="1669"/>
      <c r="K96" s="1669"/>
      <c r="L96" s="1669"/>
      <c r="M96" s="1669"/>
      <c r="N96" s="1669"/>
      <c r="O96" s="1669"/>
      <c r="P96" s="1669"/>
      <c r="Q96" s="1669"/>
      <c r="R96" s="1669"/>
      <c r="S96" s="1669"/>
      <c r="T96" s="1669"/>
      <c r="U96" s="1669"/>
      <c r="V96" s="1669"/>
      <c r="W96" s="1669"/>
      <c r="X96" s="1669"/>
      <c r="Y96" s="1669"/>
      <c r="Z96" s="1669"/>
      <c r="AA96" s="1669"/>
      <c r="AB96" s="1669"/>
      <c r="AC96" s="1669"/>
      <c r="AD96" s="1668"/>
      <c r="AE96" s="1668"/>
      <c r="AF96" s="1668"/>
      <c r="AG96" s="1668"/>
      <c r="AH96" s="1668"/>
      <c r="AI96" s="1668"/>
    </row>
    <row r="97" spans="1:35" ht="14.25">
      <c r="A97" s="1680" t="s">
        <v>386</v>
      </c>
      <c r="B97" s="1679"/>
      <c r="C97" s="1678"/>
      <c r="D97" s="1678"/>
      <c r="E97" s="1678"/>
      <c r="F97" s="1677">
        <f>F93</f>
        <v>2.5614285714285714</v>
      </c>
      <c r="G97" s="1676" t="s">
        <v>385</v>
      </c>
      <c r="H97" s="1675"/>
      <c r="I97" s="1674"/>
      <c r="J97" s="1669"/>
      <c r="K97" s="1669"/>
      <c r="L97" s="1669"/>
      <c r="M97" s="1669"/>
      <c r="N97" s="1669"/>
      <c r="O97" s="1669"/>
      <c r="P97" s="1669"/>
      <c r="Q97" s="1669"/>
      <c r="R97" s="1669"/>
      <c r="S97" s="1669"/>
      <c r="T97" s="1669"/>
      <c r="U97" s="1669"/>
      <c r="V97" s="1669"/>
      <c r="W97" s="1669"/>
      <c r="X97" s="1669"/>
      <c r="Y97" s="1669"/>
      <c r="Z97" s="1669"/>
      <c r="AA97" s="1669"/>
      <c r="AB97" s="1669"/>
      <c r="AC97" s="1669"/>
      <c r="AD97" s="1668"/>
      <c r="AE97" s="1668"/>
      <c r="AF97" s="1668"/>
      <c r="AG97" s="1668"/>
      <c r="AH97" s="1668"/>
      <c r="AI97" s="1668"/>
    </row>
    <row r="98" spans="1:35" ht="13.5" thickBot="1">
      <c r="A98" s="1673"/>
      <c r="B98" s="1672"/>
      <c r="C98" s="1672"/>
      <c r="D98" s="1672"/>
      <c r="E98" s="1672"/>
      <c r="F98" s="1672"/>
      <c r="G98" s="1672"/>
      <c r="H98" s="1672"/>
      <c r="I98" s="1671"/>
      <c r="J98" s="1669"/>
      <c r="K98" s="1669"/>
      <c r="L98" s="1669"/>
      <c r="M98" s="1669"/>
      <c r="N98" s="1669"/>
      <c r="O98" s="1669"/>
      <c r="P98" s="1669"/>
      <c r="Q98" s="1669"/>
      <c r="R98" s="1669"/>
      <c r="S98" s="1669"/>
      <c r="T98" s="1669"/>
      <c r="U98" s="1669"/>
      <c r="V98" s="1669"/>
      <c r="W98" s="1669"/>
      <c r="X98" s="1669"/>
      <c r="Y98" s="1669"/>
      <c r="Z98" s="1669"/>
      <c r="AA98" s="1669"/>
      <c r="AB98" s="1669"/>
      <c r="AC98" s="1669"/>
      <c r="AD98" s="1668"/>
      <c r="AE98" s="1668"/>
      <c r="AF98" s="1668"/>
      <c r="AG98" s="1668"/>
      <c r="AH98" s="1668"/>
      <c r="AI98" s="1668"/>
    </row>
    <row r="99" spans="1:35">
      <c r="A99" s="1669"/>
      <c r="B99" s="1669"/>
      <c r="C99" s="1669"/>
      <c r="D99" s="1669"/>
      <c r="E99" s="1669"/>
      <c r="F99" s="1670"/>
      <c r="G99" s="1669"/>
      <c r="H99" s="1669"/>
      <c r="I99" s="1669"/>
      <c r="J99" s="1669"/>
      <c r="K99" s="1669"/>
      <c r="L99" s="1669"/>
      <c r="M99" s="1669"/>
      <c r="N99" s="1669"/>
      <c r="O99" s="1669"/>
      <c r="P99" s="1669"/>
      <c r="Q99" s="1669"/>
      <c r="R99" s="1669"/>
      <c r="S99" s="1669"/>
      <c r="T99" s="1669"/>
      <c r="U99" s="1669"/>
      <c r="V99" s="1669"/>
      <c r="W99" s="1669"/>
      <c r="X99" s="1669"/>
      <c r="Y99" s="1669"/>
      <c r="Z99" s="1669"/>
      <c r="AA99" s="1669"/>
      <c r="AB99" s="1669"/>
      <c r="AC99" s="1669"/>
      <c r="AD99" s="1668"/>
      <c r="AE99" s="1668"/>
      <c r="AF99" s="1668"/>
      <c r="AG99" s="1668"/>
      <c r="AH99" s="1668"/>
      <c r="AI99" s="1668"/>
    </row>
    <row r="100" spans="1:35">
      <c r="A100" s="1668"/>
      <c r="B100" s="1668"/>
      <c r="C100" s="1668"/>
      <c r="D100" s="1668"/>
      <c r="E100" s="1668"/>
      <c r="F100" s="1668"/>
      <c r="G100" s="1668"/>
      <c r="H100" s="1668"/>
      <c r="I100" s="1668"/>
      <c r="J100" s="1669"/>
      <c r="K100" s="1669"/>
      <c r="L100" s="1669"/>
      <c r="M100" s="1669"/>
      <c r="N100" s="1669"/>
      <c r="O100" s="1669"/>
      <c r="P100" s="1669"/>
      <c r="Q100" s="1669"/>
      <c r="R100" s="1669"/>
      <c r="S100" s="1669"/>
      <c r="T100" s="1669"/>
      <c r="U100" s="1669"/>
      <c r="V100" s="1669"/>
      <c r="W100" s="1669"/>
      <c r="X100" s="1669"/>
      <c r="Y100" s="1669"/>
      <c r="Z100" s="1669"/>
      <c r="AA100" s="1669"/>
      <c r="AB100" s="1669"/>
      <c r="AC100" s="1669"/>
      <c r="AD100" s="1668"/>
      <c r="AE100" s="1668"/>
      <c r="AF100" s="1668"/>
      <c r="AG100" s="1668"/>
      <c r="AH100" s="1668"/>
      <c r="AI100" s="1668"/>
    </row>
    <row r="101" spans="1:35">
      <c r="A101" s="1669"/>
      <c r="B101" s="1669"/>
      <c r="C101" s="1669"/>
      <c r="D101" s="1669"/>
      <c r="E101" s="1669"/>
      <c r="F101" s="1669"/>
      <c r="G101" s="1669"/>
      <c r="H101" s="1669"/>
      <c r="I101" s="1669"/>
      <c r="J101" s="1669"/>
      <c r="K101" s="1669"/>
      <c r="L101" s="1669"/>
      <c r="M101" s="1669"/>
      <c r="N101" s="1669"/>
      <c r="O101" s="1669"/>
      <c r="P101" s="1669"/>
      <c r="Q101" s="1669"/>
      <c r="R101" s="1669"/>
      <c r="S101" s="1669"/>
      <c r="T101" s="1669"/>
      <c r="U101" s="1669"/>
      <c r="V101" s="1669"/>
      <c r="W101" s="1669"/>
      <c r="X101" s="1669"/>
      <c r="Y101" s="1669"/>
      <c r="Z101" s="1669"/>
      <c r="AA101" s="1669"/>
      <c r="AB101" s="1669"/>
      <c r="AC101" s="1669"/>
      <c r="AD101" s="1668"/>
      <c r="AE101" s="1668"/>
      <c r="AF101" s="1668"/>
      <c r="AG101" s="1668"/>
      <c r="AH101" s="1668"/>
      <c r="AI101" s="1668"/>
    </row>
    <row r="102" spans="1:35">
      <c r="A102" s="1669"/>
      <c r="B102" s="1669"/>
      <c r="C102" s="1669"/>
      <c r="D102" s="1669"/>
      <c r="E102" s="1669"/>
      <c r="F102" s="1669"/>
      <c r="G102" s="1669"/>
      <c r="H102" s="1669"/>
      <c r="I102" s="1669"/>
      <c r="J102" s="1669"/>
      <c r="K102" s="1669"/>
      <c r="L102" s="1669"/>
      <c r="M102" s="1669"/>
      <c r="N102" s="1669"/>
      <c r="O102" s="1669"/>
      <c r="P102" s="1669"/>
      <c r="Q102" s="1669"/>
      <c r="R102" s="1669"/>
      <c r="S102" s="1669"/>
      <c r="T102" s="1669"/>
      <c r="U102" s="1669"/>
      <c r="V102" s="1669"/>
      <c r="W102" s="1669"/>
      <c r="X102" s="1669"/>
      <c r="Y102" s="1669"/>
      <c r="Z102" s="1669"/>
      <c r="AA102" s="1669"/>
      <c r="AB102" s="1669"/>
      <c r="AC102" s="1669"/>
      <c r="AD102" s="1668"/>
      <c r="AE102" s="1668"/>
      <c r="AF102" s="1668"/>
      <c r="AG102" s="1668"/>
      <c r="AH102" s="1668"/>
      <c r="AI102" s="1668"/>
    </row>
    <row r="103" spans="1:35">
      <c r="A103" s="1669"/>
      <c r="B103" s="1669"/>
      <c r="C103" s="1669"/>
      <c r="D103" s="1669"/>
      <c r="E103" s="1669"/>
      <c r="F103" s="1669"/>
      <c r="G103" s="1669"/>
      <c r="H103" s="1669"/>
      <c r="I103" s="1669"/>
      <c r="J103" s="1669"/>
      <c r="K103" s="1669"/>
      <c r="L103" s="1669"/>
      <c r="M103" s="1669"/>
      <c r="N103" s="1669"/>
      <c r="O103" s="1669"/>
      <c r="P103" s="1669"/>
      <c r="Q103" s="1669"/>
      <c r="R103" s="1669"/>
      <c r="S103" s="1669"/>
      <c r="T103" s="1669"/>
      <c r="U103" s="1669"/>
      <c r="V103" s="1669"/>
      <c r="W103" s="1669"/>
      <c r="X103" s="1669"/>
      <c r="Y103" s="1669"/>
      <c r="Z103" s="1669"/>
      <c r="AA103" s="1669"/>
      <c r="AB103" s="1669"/>
      <c r="AC103" s="1669"/>
      <c r="AD103" s="1668"/>
      <c r="AE103" s="1668"/>
      <c r="AF103" s="1668"/>
      <c r="AG103" s="1668"/>
      <c r="AH103" s="1668"/>
      <c r="AI103" s="1668"/>
    </row>
    <row r="104" spans="1:35">
      <c r="A104" s="1669"/>
      <c r="B104" s="1669"/>
      <c r="C104" s="1669"/>
      <c r="D104" s="1669"/>
      <c r="E104" s="1669"/>
      <c r="F104" s="1669"/>
      <c r="G104" s="1669"/>
      <c r="H104" s="1669"/>
      <c r="I104" s="1669"/>
      <c r="J104" s="1669"/>
      <c r="K104" s="1669"/>
      <c r="L104" s="1669"/>
      <c r="M104" s="1669"/>
      <c r="N104" s="1669"/>
      <c r="O104" s="1669"/>
      <c r="P104" s="1669"/>
      <c r="Q104" s="1669"/>
      <c r="R104" s="1669"/>
      <c r="S104" s="1669"/>
      <c r="T104" s="1669"/>
      <c r="U104" s="1669"/>
      <c r="V104" s="1669"/>
      <c r="W104" s="1669"/>
      <c r="X104" s="1669"/>
      <c r="Y104" s="1669"/>
      <c r="Z104" s="1669"/>
      <c r="AA104" s="1669"/>
      <c r="AB104" s="1669"/>
      <c r="AC104" s="1669"/>
      <c r="AD104" s="1668"/>
      <c r="AE104" s="1668"/>
      <c r="AF104" s="1668"/>
      <c r="AG104" s="1668"/>
      <c r="AH104" s="1668"/>
      <c r="AI104" s="1668"/>
    </row>
    <row r="105" spans="1:35">
      <c r="A105" s="1669"/>
      <c r="B105" s="1669"/>
      <c r="C105" s="1669"/>
      <c r="D105" s="1669"/>
      <c r="E105" s="1669"/>
      <c r="F105" s="1669"/>
      <c r="G105" s="1669"/>
      <c r="H105" s="1669"/>
      <c r="I105" s="1669"/>
      <c r="J105" s="1669"/>
      <c r="K105" s="1669"/>
      <c r="L105" s="1669"/>
      <c r="M105" s="1669"/>
      <c r="N105" s="1669"/>
      <c r="O105" s="1669"/>
      <c r="P105" s="1669"/>
      <c r="Q105" s="1669"/>
      <c r="R105" s="1669"/>
      <c r="S105" s="1669"/>
      <c r="T105" s="1669"/>
      <c r="U105" s="1669"/>
      <c r="V105" s="1669"/>
      <c r="W105" s="1669"/>
      <c r="X105" s="1669"/>
      <c r="Y105" s="1669"/>
      <c r="Z105" s="1669"/>
      <c r="AA105" s="1669"/>
      <c r="AB105" s="1669"/>
      <c r="AC105" s="1669"/>
      <c r="AD105" s="1668"/>
      <c r="AE105" s="1668"/>
      <c r="AF105" s="1668"/>
      <c r="AG105" s="1668"/>
      <c r="AH105" s="1668"/>
      <c r="AI105" s="1668"/>
    </row>
    <row r="106" spans="1:35">
      <c r="A106" s="1669"/>
      <c r="B106" s="1669"/>
      <c r="C106" s="1669"/>
      <c r="D106" s="1669"/>
      <c r="E106" s="1669"/>
      <c r="F106" s="1669"/>
      <c r="G106" s="1669"/>
      <c r="H106" s="1669"/>
      <c r="I106" s="1669"/>
      <c r="J106" s="1669"/>
      <c r="K106" s="1669"/>
      <c r="L106" s="1669"/>
      <c r="M106" s="1669"/>
      <c r="N106" s="1669"/>
      <c r="O106" s="1669"/>
      <c r="P106" s="1669"/>
      <c r="Q106" s="1669"/>
      <c r="R106" s="1669"/>
      <c r="S106" s="1669"/>
      <c r="T106" s="1669"/>
      <c r="U106" s="1669"/>
      <c r="V106" s="1669"/>
      <c r="W106" s="1669"/>
      <c r="X106" s="1669"/>
      <c r="Y106" s="1669"/>
      <c r="Z106" s="1669"/>
      <c r="AA106" s="1669"/>
      <c r="AB106" s="1669"/>
      <c r="AC106" s="1669"/>
      <c r="AD106" s="1668"/>
      <c r="AE106" s="1668"/>
      <c r="AF106" s="1668"/>
      <c r="AG106" s="1668"/>
      <c r="AH106" s="1668"/>
      <c r="AI106" s="1668"/>
    </row>
    <row r="107" spans="1:35">
      <c r="A107" s="1669"/>
      <c r="B107" s="1669"/>
      <c r="C107" s="1669"/>
      <c r="D107" s="1669"/>
      <c r="E107" s="1669"/>
      <c r="F107" s="1669"/>
      <c r="G107" s="1669"/>
      <c r="H107" s="1669"/>
      <c r="I107" s="1669"/>
      <c r="J107" s="1669"/>
      <c r="K107" s="1669"/>
      <c r="L107" s="1669"/>
      <c r="M107" s="1669"/>
      <c r="N107" s="1669"/>
      <c r="O107" s="1669"/>
      <c r="P107" s="1669"/>
      <c r="Q107" s="1669"/>
      <c r="R107" s="1669"/>
      <c r="S107" s="1669"/>
      <c r="T107" s="1669"/>
      <c r="U107" s="1669"/>
      <c r="V107" s="1669"/>
      <c r="W107" s="1669"/>
      <c r="X107" s="1669"/>
      <c r="Y107" s="1669"/>
      <c r="Z107" s="1669"/>
      <c r="AA107" s="1669"/>
      <c r="AB107" s="1669"/>
      <c r="AC107" s="1669"/>
      <c r="AD107" s="1668"/>
      <c r="AE107" s="1668"/>
      <c r="AF107" s="1668"/>
      <c r="AG107" s="1668"/>
      <c r="AH107" s="1668"/>
      <c r="AI107" s="1668"/>
    </row>
    <row r="108" spans="1:35">
      <c r="A108" s="1669"/>
      <c r="B108" s="1669"/>
      <c r="C108" s="1669"/>
      <c r="D108" s="1669"/>
      <c r="E108" s="1669"/>
      <c r="F108" s="1669"/>
      <c r="G108" s="1669"/>
      <c r="H108" s="1669"/>
      <c r="I108" s="1669"/>
      <c r="J108" s="1669"/>
      <c r="K108" s="1669"/>
      <c r="L108" s="1669"/>
      <c r="M108" s="1669"/>
      <c r="N108" s="1669"/>
      <c r="O108" s="1669"/>
      <c r="P108" s="1669"/>
      <c r="Q108" s="1669"/>
      <c r="R108" s="1669"/>
      <c r="S108" s="1669"/>
      <c r="T108" s="1669"/>
      <c r="U108" s="1669"/>
      <c r="V108" s="1669"/>
      <c r="W108" s="1669"/>
      <c r="X108" s="1669"/>
      <c r="Y108" s="1669"/>
      <c r="Z108" s="1669"/>
      <c r="AA108" s="1669"/>
      <c r="AB108" s="1669"/>
      <c r="AC108" s="1669"/>
      <c r="AD108" s="1668"/>
      <c r="AE108" s="1668"/>
      <c r="AF108" s="1668"/>
      <c r="AG108" s="1668"/>
      <c r="AH108" s="1668"/>
      <c r="AI108" s="1668"/>
    </row>
    <row r="109" spans="1:35">
      <c r="A109" s="1669"/>
      <c r="B109" s="1669"/>
      <c r="C109" s="1669"/>
      <c r="D109" s="1669"/>
      <c r="E109" s="1669"/>
      <c r="F109" s="1669"/>
      <c r="G109" s="1669"/>
      <c r="H109" s="1669"/>
      <c r="I109" s="1669"/>
      <c r="J109" s="1669"/>
      <c r="K109" s="1669"/>
      <c r="L109" s="1669"/>
      <c r="M109" s="1669"/>
      <c r="N109" s="1669"/>
      <c r="O109" s="1669"/>
      <c r="P109" s="1669"/>
      <c r="Q109" s="1669"/>
      <c r="R109" s="1669"/>
      <c r="S109" s="1669"/>
      <c r="T109" s="1669"/>
      <c r="U109" s="1669"/>
      <c r="V109" s="1669"/>
      <c r="W109" s="1669"/>
      <c r="X109" s="1669"/>
      <c r="Y109" s="1669"/>
      <c r="Z109" s="1669"/>
      <c r="AA109" s="1669"/>
      <c r="AB109" s="1669"/>
      <c r="AC109" s="1669"/>
      <c r="AD109" s="1668"/>
      <c r="AE109" s="1668"/>
      <c r="AF109" s="1668"/>
      <c r="AG109" s="1668"/>
      <c r="AH109" s="1668"/>
      <c r="AI109" s="1668"/>
    </row>
    <row r="110" spans="1:35">
      <c r="A110" s="1669"/>
      <c r="B110" s="1669"/>
      <c r="C110" s="1669"/>
      <c r="D110" s="1669"/>
      <c r="E110" s="1669"/>
      <c r="F110" s="1669"/>
      <c r="G110" s="1669"/>
      <c r="H110" s="1669"/>
      <c r="I110" s="1669"/>
      <c r="J110" s="1669"/>
      <c r="K110" s="1669"/>
      <c r="L110" s="1669"/>
      <c r="M110" s="1669"/>
      <c r="N110" s="1669"/>
      <c r="O110" s="1669"/>
      <c r="P110" s="1669"/>
      <c r="Q110" s="1669"/>
      <c r="R110" s="1669"/>
      <c r="S110" s="1669"/>
      <c r="T110" s="1669"/>
      <c r="U110" s="1669"/>
      <c r="V110" s="1669"/>
      <c r="W110" s="1669"/>
      <c r="X110" s="1669"/>
      <c r="Y110" s="1669"/>
      <c r="Z110" s="1669"/>
      <c r="AA110" s="1669"/>
      <c r="AB110" s="1669"/>
      <c r="AC110" s="1669"/>
      <c r="AD110" s="1668"/>
      <c r="AE110" s="1668"/>
      <c r="AF110" s="1668"/>
      <c r="AG110" s="1668"/>
      <c r="AH110" s="1668"/>
      <c r="AI110" s="1668"/>
    </row>
    <row r="111" spans="1:35">
      <c r="A111" s="1669"/>
      <c r="B111" s="1669"/>
      <c r="C111" s="1669"/>
      <c r="D111" s="1669"/>
      <c r="E111" s="1669"/>
      <c r="F111" s="1669"/>
      <c r="G111" s="1669"/>
      <c r="H111" s="1669"/>
      <c r="I111" s="1669"/>
      <c r="J111" s="1669"/>
      <c r="K111" s="1669"/>
      <c r="L111" s="1669"/>
      <c r="M111" s="1669"/>
      <c r="N111" s="1669"/>
      <c r="O111" s="1669"/>
      <c r="P111" s="1669"/>
      <c r="Q111" s="1669"/>
      <c r="R111" s="1669"/>
      <c r="S111" s="1669"/>
      <c r="T111" s="1669"/>
      <c r="U111" s="1669"/>
      <c r="V111" s="1669"/>
      <c r="W111" s="1669"/>
      <c r="X111" s="1669"/>
      <c r="Y111" s="1669"/>
      <c r="Z111" s="1669"/>
      <c r="AA111" s="1669"/>
      <c r="AB111" s="1669"/>
      <c r="AC111" s="1669"/>
      <c r="AD111" s="1668"/>
      <c r="AE111" s="1668"/>
      <c r="AF111" s="1668"/>
      <c r="AG111" s="1668"/>
      <c r="AH111" s="1668"/>
      <c r="AI111" s="1668"/>
    </row>
    <row r="112" spans="1:35">
      <c r="A112" s="1669"/>
      <c r="B112" s="1669"/>
      <c r="C112" s="1669"/>
      <c r="D112" s="1669"/>
      <c r="E112" s="1669"/>
      <c r="F112" s="1669"/>
      <c r="G112" s="1669"/>
      <c r="H112" s="1669"/>
      <c r="I112" s="1669"/>
      <c r="J112" s="1669"/>
      <c r="K112" s="1669"/>
      <c r="L112" s="1669"/>
      <c r="M112" s="1669"/>
      <c r="N112" s="1669"/>
      <c r="O112" s="1669"/>
      <c r="P112" s="1669"/>
      <c r="Q112" s="1669"/>
      <c r="R112" s="1669"/>
      <c r="S112" s="1669"/>
      <c r="T112" s="1669"/>
      <c r="U112" s="1669"/>
      <c r="V112" s="1669"/>
      <c r="W112" s="1669"/>
      <c r="X112" s="1669"/>
      <c r="Y112" s="1669"/>
      <c r="Z112" s="1669"/>
      <c r="AA112" s="1669"/>
      <c r="AB112" s="1669"/>
      <c r="AC112" s="1669"/>
      <c r="AD112" s="1668"/>
      <c r="AE112" s="1668"/>
      <c r="AF112" s="1668"/>
      <c r="AG112" s="1668"/>
      <c r="AH112" s="1668"/>
      <c r="AI112" s="1668"/>
    </row>
    <row r="113" spans="1:35">
      <c r="A113" s="1669"/>
      <c r="B113" s="1669"/>
      <c r="C113" s="1669"/>
      <c r="D113" s="1669"/>
      <c r="E113" s="1669"/>
      <c r="F113" s="1669"/>
      <c r="G113" s="1669"/>
      <c r="H113" s="1669"/>
      <c r="I113" s="1669"/>
      <c r="J113" s="1669"/>
      <c r="K113" s="1669"/>
      <c r="L113" s="1669"/>
      <c r="M113" s="1669"/>
      <c r="N113" s="1669"/>
      <c r="O113" s="1669"/>
      <c r="P113" s="1669"/>
      <c r="Q113" s="1669"/>
      <c r="R113" s="1669"/>
      <c r="S113" s="1669"/>
      <c r="T113" s="1669"/>
      <c r="U113" s="1669"/>
      <c r="V113" s="1669"/>
      <c r="W113" s="1669"/>
      <c r="X113" s="1669"/>
      <c r="Y113" s="1669"/>
      <c r="Z113" s="1669"/>
      <c r="AA113" s="1669"/>
      <c r="AB113" s="1669"/>
      <c r="AC113" s="1669"/>
      <c r="AD113" s="1668"/>
      <c r="AE113" s="1668"/>
      <c r="AF113" s="1668"/>
      <c r="AG113" s="1668"/>
      <c r="AH113" s="1668"/>
      <c r="AI113" s="1668"/>
    </row>
    <row r="114" spans="1:35">
      <c r="A114" s="1669"/>
      <c r="B114" s="1669"/>
      <c r="C114" s="1669"/>
      <c r="D114" s="1669"/>
      <c r="E114" s="1669"/>
      <c r="F114" s="1669"/>
      <c r="G114" s="1669"/>
      <c r="H114" s="1669"/>
      <c r="I114" s="1669"/>
      <c r="J114" s="1669"/>
      <c r="K114" s="1669"/>
      <c r="L114" s="1669"/>
      <c r="M114" s="1669"/>
      <c r="N114" s="1669"/>
      <c r="O114" s="1669"/>
      <c r="P114" s="1669"/>
      <c r="Q114" s="1669"/>
      <c r="R114" s="1669"/>
      <c r="S114" s="1669"/>
      <c r="T114" s="1669"/>
      <c r="U114" s="1669"/>
      <c r="V114" s="1669"/>
      <c r="W114" s="1669"/>
      <c r="X114" s="1669"/>
      <c r="Y114" s="1669"/>
      <c r="Z114" s="1669"/>
      <c r="AA114" s="1669"/>
      <c r="AB114" s="1669"/>
      <c r="AC114" s="1669"/>
      <c r="AD114" s="1668"/>
      <c r="AE114" s="1668"/>
      <c r="AF114" s="1668"/>
      <c r="AG114" s="1668"/>
      <c r="AH114" s="1668"/>
      <c r="AI114" s="1668"/>
    </row>
    <row r="115" spans="1:35">
      <c r="A115" s="1669"/>
      <c r="B115" s="1669"/>
      <c r="C115" s="1669"/>
      <c r="D115" s="1669"/>
      <c r="E115" s="1669"/>
      <c r="F115" s="1669"/>
      <c r="G115" s="1669"/>
      <c r="H115" s="1669"/>
      <c r="I115" s="1669"/>
      <c r="J115" s="1669"/>
      <c r="K115" s="1669"/>
      <c r="L115" s="1669"/>
      <c r="M115" s="1669"/>
      <c r="N115" s="1669"/>
      <c r="O115" s="1669"/>
      <c r="P115" s="1669"/>
      <c r="Q115" s="1669"/>
      <c r="R115" s="1669"/>
      <c r="S115" s="1669"/>
      <c r="T115" s="1669"/>
      <c r="U115" s="1669"/>
      <c r="V115" s="1669"/>
      <c r="W115" s="1669"/>
      <c r="X115" s="1669"/>
      <c r="Y115" s="1669"/>
      <c r="Z115" s="1669"/>
      <c r="AA115" s="1669"/>
      <c r="AB115" s="1669"/>
      <c r="AC115" s="1669"/>
      <c r="AD115" s="1668"/>
      <c r="AE115" s="1668"/>
      <c r="AF115" s="1668"/>
      <c r="AG115" s="1668"/>
      <c r="AH115" s="1668"/>
      <c r="AI115" s="1668"/>
    </row>
    <row r="116" spans="1:35">
      <c r="A116" s="1669"/>
      <c r="B116" s="1669"/>
      <c r="C116" s="1669"/>
      <c r="D116" s="1669"/>
      <c r="E116" s="1669"/>
      <c r="F116" s="1669"/>
      <c r="G116" s="1669"/>
      <c r="H116" s="1669"/>
      <c r="I116" s="1669"/>
      <c r="J116" s="1669"/>
      <c r="K116" s="1669"/>
      <c r="L116" s="1669"/>
      <c r="M116" s="1669"/>
      <c r="N116" s="1669"/>
      <c r="O116" s="1669"/>
      <c r="P116" s="1669"/>
      <c r="Q116" s="1669"/>
      <c r="R116" s="1669"/>
      <c r="S116" s="1669"/>
      <c r="T116" s="1669"/>
      <c r="U116" s="1669"/>
      <c r="V116" s="1669"/>
      <c r="W116" s="1669"/>
      <c r="X116" s="1669"/>
      <c r="Y116" s="1669"/>
      <c r="Z116" s="1669"/>
      <c r="AA116" s="1669"/>
      <c r="AB116" s="1669"/>
      <c r="AC116" s="1669"/>
      <c r="AD116" s="1668"/>
      <c r="AE116" s="1668"/>
      <c r="AF116" s="1668"/>
      <c r="AG116" s="1668"/>
      <c r="AH116" s="1668"/>
      <c r="AI116" s="1668"/>
    </row>
    <row r="117" spans="1:35">
      <c r="A117" s="1669"/>
      <c r="B117" s="1669"/>
      <c r="C117" s="1669"/>
      <c r="D117" s="1669"/>
      <c r="E117" s="1669"/>
      <c r="F117" s="1669"/>
      <c r="G117" s="1669"/>
      <c r="H117" s="1669"/>
      <c r="I117" s="1669"/>
      <c r="J117" s="1669"/>
      <c r="K117" s="1669"/>
      <c r="L117" s="1669"/>
      <c r="M117" s="1669"/>
      <c r="N117" s="1669"/>
      <c r="O117" s="1669"/>
      <c r="P117" s="1669"/>
      <c r="Q117" s="1669"/>
      <c r="R117" s="1669"/>
      <c r="S117" s="1669"/>
      <c r="T117" s="1669"/>
      <c r="U117" s="1669"/>
      <c r="V117" s="1669"/>
      <c r="W117" s="1669"/>
      <c r="X117" s="1669"/>
      <c r="Y117" s="1669"/>
      <c r="Z117" s="1669"/>
      <c r="AA117" s="1669"/>
      <c r="AB117" s="1669"/>
      <c r="AC117" s="1669"/>
      <c r="AD117" s="1668"/>
      <c r="AE117" s="1668"/>
      <c r="AF117" s="1668"/>
      <c r="AG117" s="1668"/>
      <c r="AH117" s="1668"/>
      <c r="AI117" s="1668"/>
    </row>
    <row r="118" spans="1:35">
      <c r="A118" s="1669"/>
      <c r="B118" s="1669"/>
      <c r="C118" s="1669"/>
      <c r="D118" s="1669"/>
      <c r="E118" s="1669"/>
      <c r="F118" s="1669"/>
      <c r="G118" s="1669"/>
      <c r="H118" s="1669"/>
      <c r="I118" s="1669"/>
      <c r="J118" s="1669"/>
      <c r="K118" s="1669"/>
      <c r="L118" s="1669"/>
      <c r="M118" s="1669"/>
      <c r="N118" s="1669"/>
      <c r="O118" s="1669"/>
      <c r="P118" s="1669"/>
      <c r="Q118" s="1669"/>
      <c r="R118" s="1669"/>
      <c r="S118" s="1669"/>
      <c r="T118" s="1669"/>
      <c r="U118" s="1669"/>
      <c r="V118" s="1669"/>
      <c r="W118" s="1669"/>
      <c r="X118" s="1669"/>
      <c r="Y118" s="1669"/>
      <c r="Z118" s="1669"/>
      <c r="AA118" s="1669"/>
      <c r="AB118" s="1669"/>
      <c r="AC118" s="1669"/>
      <c r="AD118" s="1668"/>
      <c r="AE118" s="1668"/>
      <c r="AF118" s="1668"/>
      <c r="AG118" s="1668"/>
      <c r="AH118" s="1668"/>
      <c r="AI118" s="1668"/>
    </row>
    <row r="119" spans="1:35">
      <c r="A119" s="1669"/>
      <c r="B119" s="1669"/>
      <c r="C119" s="1669"/>
      <c r="D119" s="1669"/>
      <c r="E119" s="1669"/>
      <c r="F119" s="1669"/>
      <c r="G119" s="1669"/>
      <c r="H119" s="1669"/>
      <c r="I119" s="1669"/>
      <c r="J119" s="1669"/>
      <c r="K119" s="1669"/>
      <c r="L119" s="1669"/>
      <c r="M119" s="1669"/>
      <c r="N119" s="1669"/>
      <c r="O119" s="1669"/>
      <c r="P119" s="1669"/>
      <c r="Q119" s="1669"/>
      <c r="R119" s="1669"/>
      <c r="S119" s="1669"/>
      <c r="T119" s="1669"/>
      <c r="U119" s="1669"/>
      <c r="V119" s="1669"/>
      <c r="W119" s="1669"/>
      <c r="X119" s="1669"/>
      <c r="Y119" s="1669"/>
      <c r="Z119" s="1669"/>
      <c r="AA119" s="1669"/>
      <c r="AB119" s="1669"/>
      <c r="AC119" s="1669"/>
      <c r="AD119" s="1668"/>
      <c r="AE119" s="1668"/>
      <c r="AF119" s="1668"/>
      <c r="AG119" s="1668"/>
      <c r="AH119" s="1668"/>
      <c r="AI119" s="1668"/>
    </row>
    <row r="120" spans="1:35">
      <c r="A120" s="1669"/>
      <c r="B120" s="1669"/>
      <c r="C120" s="1669"/>
      <c r="D120" s="1669"/>
      <c r="E120" s="1669"/>
      <c r="F120" s="1669"/>
      <c r="G120" s="1669"/>
      <c r="H120" s="1669"/>
      <c r="I120" s="1669"/>
      <c r="J120" s="1669"/>
      <c r="K120" s="1669"/>
      <c r="L120" s="1669"/>
      <c r="M120" s="1669"/>
      <c r="N120" s="1669"/>
      <c r="O120" s="1669"/>
      <c r="P120" s="1669"/>
      <c r="Q120" s="1669"/>
      <c r="R120" s="1669"/>
      <c r="S120" s="1669"/>
      <c r="T120" s="1669"/>
      <c r="U120" s="1669"/>
      <c r="V120" s="1669"/>
      <c r="W120" s="1669"/>
      <c r="X120" s="1669"/>
      <c r="Y120" s="1669"/>
      <c r="Z120" s="1669"/>
      <c r="AA120" s="1669"/>
      <c r="AB120" s="1669"/>
      <c r="AC120" s="1669"/>
      <c r="AD120" s="1668"/>
      <c r="AE120" s="1668"/>
      <c r="AF120" s="1668"/>
      <c r="AG120" s="1668"/>
      <c r="AH120" s="1668"/>
      <c r="AI120" s="1668"/>
    </row>
    <row r="121" spans="1:35">
      <c r="A121" s="1669"/>
      <c r="B121" s="1669"/>
      <c r="C121" s="1669"/>
      <c r="D121" s="1669"/>
      <c r="E121" s="1669"/>
      <c r="F121" s="1669"/>
      <c r="G121" s="1669"/>
      <c r="H121" s="1669"/>
      <c r="I121" s="1669"/>
      <c r="J121" s="1669"/>
      <c r="K121" s="1669"/>
      <c r="L121" s="1669"/>
      <c r="M121" s="1669"/>
      <c r="N121" s="1669"/>
      <c r="O121" s="1669"/>
      <c r="P121" s="1669"/>
      <c r="Q121" s="1669"/>
      <c r="R121" s="1669"/>
      <c r="S121" s="1669"/>
      <c r="T121" s="1669"/>
      <c r="U121" s="1669"/>
      <c r="V121" s="1669"/>
      <c r="W121" s="1669"/>
      <c r="X121" s="1669"/>
      <c r="Y121" s="1669"/>
      <c r="Z121" s="1669"/>
      <c r="AA121" s="1669"/>
      <c r="AB121" s="1669"/>
      <c r="AC121" s="1669"/>
      <c r="AD121" s="1668"/>
      <c r="AE121" s="1668"/>
      <c r="AF121" s="1668"/>
      <c r="AG121" s="1668"/>
      <c r="AH121" s="1668"/>
      <c r="AI121" s="1668"/>
    </row>
    <row r="122" spans="1:35">
      <c r="A122" s="1669"/>
      <c r="B122" s="1669"/>
      <c r="C122" s="1669"/>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8"/>
      <c r="AE122" s="1668"/>
      <c r="AF122" s="1668"/>
      <c r="AG122" s="1668"/>
      <c r="AH122" s="1668"/>
      <c r="AI122" s="1668"/>
    </row>
    <row r="123" spans="1:35">
      <c r="A123" s="1669"/>
      <c r="B123" s="1669"/>
      <c r="C123" s="1669"/>
      <c r="D123" s="1669"/>
      <c r="E123" s="1669"/>
      <c r="F123" s="1669"/>
      <c r="G123" s="1669"/>
      <c r="H123" s="1669"/>
      <c r="I123" s="1669"/>
      <c r="J123" s="1669"/>
      <c r="K123" s="1669"/>
      <c r="L123" s="1669"/>
      <c r="M123" s="1669"/>
      <c r="N123" s="1669"/>
      <c r="O123" s="1669"/>
      <c r="P123" s="1669"/>
      <c r="Q123" s="1669"/>
      <c r="R123" s="1669"/>
      <c r="S123" s="1669"/>
      <c r="T123" s="1669"/>
      <c r="U123" s="1669"/>
      <c r="V123" s="1669"/>
      <c r="W123" s="1669"/>
      <c r="X123" s="1669"/>
      <c r="Y123" s="1669"/>
      <c r="Z123" s="1669"/>
      <c r="AA123" s="1669"/>
      <c r="AB123" s="1669"/>
      <c r="AC123" s="1669"/>
      <c r="AD123" s="1668"/>
      <c r="AE123" s="1668"/>
      <c r="AF123" s="1668"/>
      <c r="AG123" s="1668"/>
      <c r="AH123" s="1668"/>
      <c r="AI123" s="1668"/>
    </row>
    <row r="124" spans="1:35">
      <c r="A124" s="1669"/>
      <c r="B124" s="1669"/>
      <c r="C124" s="1669"/>
      <c r="D124" s="1669"/>
      <c r="E124" s="1669"/>
      <c r="F124" s="1669"/>
      <c r="G124" s="1669"/>
      <c r="H124" s="1669"/>
      <c r="I124" s="1669"/>
      <c r="J124" s="1669"/>
      <c r="K124" s="1669"/>
      <c r="L124" s="1669"/>
      <c r="M124" s="1669"/>
      <c r="N124" s="1669"/>
      <c r="O124" s="1669"/>
      <c r="P124" s="1669"/>
      <c r="Q124" s="1669"/>
      <c r="R124" s="1669"/>
      <c r="S124" s="1669"/>
      <c r="T124" s="1669"/>
      <c r="U124" s="1669"/>
      <c r="V124" s="1669"/>
      <c r="W124" s="1669"/>
      <c r="X124" s="1669"/>
      <c r="Y124" s="1669"/>
      <c r="Z124" s="1669"/>
      <c r="AA124" s="1669"/>
      <c r="AB124" s="1669"/>
      <c r="AC124" s="1669"/>
      <c r="AD124" s="1668"/>
      <c r="AE124" s="1668"/>
      <c r="AF124" s="1668"/>
      <c r="AG124" s="1668"/>
      <c r="AH124" s="1668"/>
      <c r="AI124" s="1668"/>
    </row>
    <row r="125" spans="1:35">
      <c r="A125" s="1669"/>
      <c r="B125" s="1669"/>
      <c r="C125" s="1669"/>
      <c r="D125" s="1669"/>
      <c r="E125" s="1669"/>
      <c r="F125" s="1669"/>
      <c r="G125" s="1669"/>
      <c r="H125" s="1669"/>
      <c r="I125" s="1669"/>
      <c r="J125" s="1669"/>
      <c r="K125" s="1669"/>
      <c r="L125" s="1669"/>
      <c r="M125" s="1669"/>
      <c r="N125" s="1669"/>
      <c r="O125" s="1669"/>
      <c r="P125" s="1669"/>
      <c r="Q125" s="1669"/>
      <c r="R125" s="1669"/>
      <c r="S125" s="1669"/>
      <c r="T125" s="1669"/>
      <c r="U125" s="1669"/>
      <c r="V125" s="1669"/>
      <c r="W125" s="1669"/>
      <c r="X125" s="1669"/>
      <c r="Y125" s="1669"/>
      <c r="Z125" s="1669"/>
      <c r="AA125" s="1669"/>
      <c r="AB125" s="1669"/>
      <c r="AC125" s="1669"/>
      <c r="AD125" s="1668"/>
      <c r="AE125" s="1668"/>
      <c r="AF125" s="1668"/>
      <c r="AG125" s="1668"/>
      <c r="AH125" s="1668"/>
      <c r="AI125" s="1668"/>
    </row>
    <row r="126" spans="1:35">
      <c r="A126" s="1669"/>
      <c r="B126" s="1669"/>
      <c r="C126" s="1669"/>
      <c r="D126" s="1669"/>
      <c r="E126" s="1669"/>
      <c r="F126" s="1669"/>
      <c r="G126" s="1669"/>
      <c r="H126" s="1669"/>
      <c r="I126" s="1669"/>
      <c r="J126" s="1669"/>
      <c r="K126" s="1669"/>
      <c r="L126" s="1669"/>
      <c r="M126" s="1669"/>
      <c r="N126" s="1669"/>
      <c r="O126" s="1669"/>
      <c r="P126" s="1669"/>
      <c r="Q126" s="1669"/>
      <c r="R126" s="1669"/>
      <c r="S126" s="1669"/>
      <c r="T126" s="1669"/>
      <c r="U126" s="1669"/>
      <c r="V126" s="1669"/>
      <c r="W126" s="1669"/>
      <c r="X126" s="1669"/>
      <c r="Y126" s="1669"/>
      <c r="Z126" s="1669"/>
      <c r="AA126" s="1669"/>
      <c r="AB126" s="1669"/>
      <c r="AC126" s="1669"/>
      <c r="AD126" s="1668"/>
      <c r="AE126" s="1668"/>
      <c r="AF126" s="1668"/>
      <c r="AG126" s="1668"/>
      <c r="AH126" s="1668"/>
      <c r="AI126" s="1668"/>
    </row>
    <row r="127" spans="1:35">
      <c r="A127" s="1669"/>
      <c r="B127" s="1669"/>
      <c r="C127" s="1669"/>
      <c r="D127" s="1669"/>
      <c r="E127" s="1669"/>
      <c r="F127" s="1669"/>
      <c r="G127" s="1669"/>
      <c r="H127" s="1669"/>
      <c r="I127" s="1669"/>
      <c r="J127" s="1669"/>
      <c r="K127" s="1669"/>
      <c r="L127" s="1669"/>
      <c r="M127" s="1669"/>
      <c r="N127" s="1669"/>
      <c r="O127" s="1669"/>
      <c r="P127" s="1669"/>
      <c r="Q127" s="1669"/>
      <c r="R127" s="1669"/>
      <c r="S127" s="1669"/>
      <c r="T127" s="1669"/>
      <c r="U127" s="1669"/>
      <c r="V127" s="1669"/>
      <c r="W127" s="1669"/>
      <c r="X127" s="1669"/>
      <c r="Y127" s="1669"/>
      <c r="Z127" s="1669"/>
      <c r="AA127" s="1669"/>
      <c r="AB127" s="1669"/>
      <c r="AC127" s="1669"/>
      <c r="AD127" s="1668"/>
      <c r="AE127" s="1668"/>
      <c r="AF127" s="1668"/>
      <c r="AG127" s="1668"/>
      <c r="AH127" s="1668"/>
      <c r="AI127" s="1668"/>
    </row>
    <row r="128" spans="1:35">
      <c r="A128" s="1669"/>
      <c r="B128" s="1669"/>
      <c r="C128" s="1669"/>
      <c r="D128" s="1669"/>
      <c r="E128" s="1669"/>
      <c r="F128" s="1669"/>
      <c r="G128" s="1669"/>
      <c r="H128" s="1669"/>
      <c r="I128" s="1669"/>
      <c r="J128" s="1669"/>
      <c r="K128" s="1669"/>
      <c r="L128" s="1669"/>
      <c r="M128" s="1669"/>
      <c r="N128" s="1669"/>
      <c r="O128" s="1669"/>
      <c r="P128" s="1669"/>
      <c r="Q128" s="1669"/>
      <c r="R128" s="1669"/>
      <c r="S128" s="1669"/>
      <c r="T128" s="1669"/>
      <c r="U128" s="1669"/>
      <c r="V128" s="1669"/>
      <c r="W128" s="1669"/>
      <c r="X128" s="1669"/>
      <c r="Y128" s="1669"/>
      <c r="Z128" s="1669"/>
      <c r="AA128" s="1669"/>
      <c r="AB128" s="1669"/>
      <c r="AC128" s="1669"/>
      <c r="AD128" s="1668"/>
      <c r="AE128" s="1668"/>
      <c r="AF128" s="1668"/>
      <c r="AG128" s="1668"/>
      <c r="AH128" s="1668"/>
      <c r="AI128" s="1668"/>
    </row>
    <row r="129" spans="1:35">
      <c r="A129" s="1669"/>
      <c r="B129" s="1669"/>
      <c r="C129" s="1669"/>
      <c r="D129" s="1669"/>
      <c r="E129" s="1669"/>
      <c r="F129" s="1669"/>
      <c r="G129" s="1669"/>
      <c r="H129" s="1669"/>
      <c r="I129" s="1669"/>
      <c r="J129" s="1669"/>
      <c r="K129" s="1669"/>
      <c r="L129" s="1669"/>
      <c r="M129" s="1669"/>
      <c r="N129" s="1669"/>
      <c r="O129" s="1669"/>
      <c r="P129" s="1669"/>
      <c r="Q129" s="1669"/>
      <c r="R129" s="1669"/>
      <c r="S129" s="1669"/>
      <c r="T129" s="1669"/>
      <c r="U129" s="1669"/>
      <c r="V129" s="1669"/>
      <c r="W129" s="1669"/>
      <c r="X129" s="1669"/>
      <c r="Y129" s="1669"/>
      <c r="Z129" s="1669"/>
      <c r="AA129" s="1669"/>
      <c r="AB129" s="1669"/>
      <c r="AC129" s="1669"/>
      <c r="AD129" s="1668"/>
      <c r="AE129" s="1668"/>
      <c r="AF129" s="1668"/>
      <c r="AG129" s="1668"/>
      <c r="AH129" s="1668"/>
      <c r="AI129" s="1668"/>
    </row>
    <row r="130" spans="1:35">
      <c r="A130" s="1669"/>
      <c r="B130" s="1669"/>
      <c r="C130" s="1669"/>
      <c r="D130" s="1669"/>
      <c r="E130" s="1669"/>
      <c r="F130" s="1669"/>
      <c r="G130" s="1669"/>
      <c r="H130" s="1669"/>
      <c r="I130" s="1669"/>
      <c r="J130" s="1669"/>
      <c r="K130" s="1669"/>
      <c r="L130" s="1669"/>
      <c r="M130" s="1669"/>
      <c r="N130" s="1669"/>
      <c r="O130" s="1669"/>
      <c r="P130" s="1669"/>
      <c r="Q130" s="1669"/>
      <c r="R130" s="1669"/>
      <c r="S130" s="1669"/>
      <c r="T130" s="1669"/>
      <c r="U130" s="1669"/>
      <c r="V130" s="1669"/>
      <c r="W130" s="1669"/>
      <c r="X130" s="1669"/>
      <c r="Y130" s="1669"/>
      <c r="Z130" s="1669"/>
      <c r="AA130" s="1669"/>
      <c r="AB130" s="1669"/>
      <c r="AC130" s="1669"/>
      <c r="AD130" s="1668"/>
      <c r="AE130" s="1668"/>
      <c r="AF130" s="1668"/>
      <c r="AG130" s="1668"/>
      <c r="AH130" s="1668"/>
      <c r="AI130" s="1668"/>
    </row>
    <row r="131" spans="1:35">
      <c r="A131" s="1669"/>
      <c r="B131" s="1669"/>
      <c r="C131" s="1669"/>
      <c r="D131" s="1669"/>
      <c r="E131" s="1669"/>
      <c r="F131" s="1669"/>
      <c r="G131" s="1669"/>
      <c r="H131" s="1669"/>
      <c r="I131" s="1669"/>
      <c r="J131" s="1669"/>
      <c r="K131" s="1669"/>
      <c r="L131" s="1669"/>
      <c r="M131" s="1669"/>
      <c r="N131" s="1669"/>
      <c r="O131" s="1669"/>
      <c r="P131" s="1669"/>
      <c r="Q131" s="1669"/>
      <c r="R131" s="1669"/>
      <c r="S131" s="1669"/>
      <c r="T131" s="1669"/>
      <c r="U131" s="1669"/>
      <c r="V131" s="1669"/>
      <c r="W131" s="1669"/>
      <c r="X131" s="1669"/>
      <c r="Y131" s="1669"/>
      <c r="Z131" s="1669"/>
      <c r="AA131" s="1669"/>
      <c r="AB131" s="1669"/>
      <c r="AC131" s="1669"/>
      <c r="AD131" s="1668"/>
      <c r="AE131" s="1668"/>
      <c r="AF131" s="1668"/>
      <c r="AG131" s="1668"/>
      <c r="AH131" s="1668"/>
      <c r="AI131" s="1668"/>
    </row>
    <row r="132" spans="1:35">
      <c r="A132" s="1669"/>
      <c r="B132" s="1669"/>
      <c r="C132" s="1669"/>
      <c r="D132" s="1669"/>
      <c r="E132" s="1669"/>
      <c r="F132" s="1669"/>
      <c r="G132" s="1669"/>
      <c r="H132" s="1669"/>
      <c r="I132" s="1669"/>
      <c r="J132" s="1669"/>
      <c r="K132" s="1669"/>
      <c r="L132" s="1669"/>
      <c r="M132" s="1669"/>
      <c r="N132" s="1669"/>
      <c r="O132" s="1669"/>
      <c r="P132" s="1669"/>
      <c r="Q132" s="1669"/>
      <c r="R132" s="1669"/>
      <c r="S132" s="1669"/>
      <c r="T132" s="1669"/>
      <c r="U132" s="1669"/>
      <c r="V132" s="1669"/>
      <c r="W132" s="1669"/>
      <c r="X132" s="1669"/>
      <c r="Y132" s="1669"/>
      <c r="Z132" s="1669"/>
      <c r="AA132" s="1669"/>
      <c r="AB132" s="1669"/>
      <c r="AC132" s="1669"/>
      <c r="AD132" s="1668"/>
      <c r="AE132" s="1668"/>
      <c r="AF132" s="1668"/>
      <c r="AG132" s="1668"/>
      <c r="AH132" s="1668"/>
      <c r="AI132" s="1668"/>
    </row>
    <row r="133" spans="1:35">
      <c r="A133" s="1669"/>
      <c r="B133" s="1669"/>
      <c r="C133" s="1669"/>
      <c r="D133" s="1669"/>
      <c r="E133" s="1669"/>
      <c r="F133" s="1669"/>
      <c r="G133" s="1669"/>
      <c r="H133" s="1669"/>
      <c r="I133" s="1669"/>
      <c r="J133" s="1669"/>
      <c r="K133" s="1669"/>
      <c r="L133" s="1669"/>
      <c r="M133" s="1669"/>
      <c r="N133" s="1669"/>
      <c r="O133" s="1669"/>
      <c r="P133" s="1669"/>
      <c r="Q133" s="1669"/>
      <c r="R133" s="1669"/>
      <c r="S133" s="1669"/>
      <c r="T133" s="1669"/>
      <c r="U133" s="1669"/>
      <c r="V133" s="1669"/>
      <c r="W133" s="1669"/>
      <c r="X133" s="1669"/>
      <c r="Y133" s="1669"/>
      <c r="Z133" s="1669"/>
      <c r="AA133" s="1669"/>
      <c r="AB133" s="1669"/>
      <c r="AC133" s="1669"/>
      <c r="AD133" s="1668"/>
      <c r="AE133" s="1668"/>
      <c r="AF133" s="1668"/>
      <c r="AG133" s="1668"/>
      <c r="AH133" s="1668"/>
      <c r="AI133" s="1668"/>
    </row>
    <row r="134" spans="1:35">
      <c r="A134" s="1669"/>
      <c r="B134" s="1669"/>
      <c r="C134" s="1669"/>
      <c r="D134" s="1669"/>
      <c r="E134" s="1669"/>
      <c r="F134" s="1669"/>
      <c r="G134" s="1669"/>
      <c r="H134" s="1669"/>
      <c r="I134" s="1669"/>
      <c r="J134" s="1669"/>
      <c r="K134" s="1669"/>
      <c r="L134" s="1669"/>
      <c r="M134" s="1669"/>
      <c r="N134" s="1669"/>
      <c r="O134" s="1669"/>
      <c r="P134" s="1669"/>
      <c r="Q134" s="1669"/>
      <c r="R134" s="1669"/>
      <c r="S134" s="1669"/>
      <c r="T134" s="1669"/>
      <c r="U134" s="1669"/>
      <c r="V134" s="1669"/>
      <c r="W134" s="1669"/>
      <c r="X134" s="1669"/>
      <c r="Y134" s="1669"/>
      <c r="Z134" s="1669"/>
      <c r="AA134" s="1669"/>
      <c r="AB134" s="1669"/>
      <c r="AC134" s="1669"/>
      <c r="AD134" s="1668"/>
      <c r="AE134" s="1668"/>
      <c r="AF134" s="1668"/>
      <c r="AG134" s="1668"/>
      <c r="AH134" s="1668"/>
      <c r="AI134" s="1668"/>
    </row>
    <row r="135" spans="1:35">
      <c r="A135" s="1669"/>
      <c r="B135" s="1669"/>
      <c r="C135" s="1669"/>
      <c r="D135" s="1669"/>
      <c r="E135" s="1669"/>
      <c r="F135" s="1669"/>
      <c r="G135" s="1669"/>
      <c r="H135" s="1669"/>
      <c r="I135" s="1669"/>
      <c r="J135" s="1669"/>
      <c r="K135" s="1669"/>
      <c r="L135" s="1669"/>
      <c r="M135" s="1669"/>
      <c r="N135" s="1669"/>
      <c r="O135" s="1669"/>
      <c r="P135" s="1669"/>
      <c r="Q135" s="1669"/>
      <c r="R135" s="1669"/>
      <c r="S135" s="1669"/>
      <c r="T135" s="1669"/>
      <c r="U135" s="1669"/>
      <c r="V135" s="1669"/>
      <c r="W135" s="1669"/>
      <c r="X135" s="1669"/>
      <c r="Y135" s="1669"/>
      <c r="Z135" s="1669"/>
      <c r="AA135" s="1669"/>
      <c r="AB135" s="1669"/>
      <c r="AC135" s="1669"/>
      <c r="AD135" s="1668"/>
      <c r="AE135" s="1668"/>
      <c r="AF135" s="1668"/>
      <c r="AG135" s="1668"/>
      <c r="AH135" s="1668"/>
      <c r="AI135" s="1668"/>
    </row>
    <row r="136" spans="1:35">
      <c r="A136" s="1669"/>
      <c r="B136" s="1669"/>
      <c r="C136" s="1669"/>
      <c r="D136" s="1669"/>
      <c r="E136" s="1669"/>
      <c r="F136" s="1669"/>
      <c r="G136" s="1669"/>
      <c r="H136" s="1669"/>
      <c r="I136" s="1669"/>
      <c r="J136" s="1669"/>
      <c r="K136" s="1669"/>
      <c r="L136" s="1669"/>
      <c r="M136" s="1669"/>
      <c r="N136" s="1669"/>
      <c r="O136" s="1669"/>
      <c r="P136" s="1669"/>
      <c r="Q136" s="1669"/>
      <c r="R136" s="1669"/>
      <c r="S136" s="1669"/>
      <c r="T136" s="1669"/>
      <c r="U136" s="1669"/>
      <c r="V136" s="1669"/>
      <c r="W136" s="1669"/>
      <c r="X136" s="1669"/>
      <c r="Y136" s="1669"/>
      <c r="Z136" s="1669"/>
      <c r="AA136" s="1669"/>
      <c r="AB136" s="1669"/>
      <c r="AC136" s="1669"/>
      <c r="AD136" s="1668"/>
      <c r="AE136" s="1668"/>
      <c r="AF136" s="1668"/>
      <c r="AG136" s="1668"/>
      <c r="AH136" s="1668"/>
      <c r="AI136" s="1668"/>
    </row>
    <row r="137" spans="1:35">
      <c r="A137" s="1669"/>
      <c r="B137" s="1669"/>
      <c r="C137" s="1669"/>
      <c r="D137" s="1669"/>
      <c r="E137" s="1669"/>
      <c r="F137" s="1669"/>
      <c r="G137" s="1669"/>
      <c r="H137" s="1669"/>
      <c r="I137" s="1669"/>
      <c r="J137" s="1669"/>
      <c r="K137" s="1669"/>
      <c r="L137" s="1669"/>
      <c r="M137" s="1669"/>
      <c r="N137" s="1669"/>
      <c r="O137" s="1669"/>
      <c r="P137" s="1669"/>
      <c r="Q137" s="1669"/>
      <c r="R137" s="1669"/>
      <c r="S137" s="1669"/>
      <c r="T137" s="1669"/>
      <c r="U137" s="1669"/>
      <c r="V137" s="1669"/>
      <c r="W137" s="1669"/>
      <c r="X137" s="1669"/>
      <c r="Y137" s="1669"/>
      <c r="Z137" s="1669"/>
      <c r="AA137" s="1669"/>
      <c r="AB137" s="1669"/>
      <c r="AC137" s="1669"/>
      <c r="AD137" s="1668"/>
      <c r="AE137" s="1668"/>
      <c r="AF137" s="1668"/>
      <c r="AG137" s="1668"/>
      <c r="AH137" s="1668"/>
      <c r="AI137" s="1668"/>
    </row>
    <row r="138" spans="1:35">
      <c r="A138" s="1669"/>
      <c r="B138" s="1669"/>
      <c r="C138" s="1669"/>
      <c r="D138" s="1669"/>
      <c r="E138" s="1669"/>
      <c r="F138" s="1669"/>
      <c r="G138" s="1669"/>
      <c r="H138" s="1669"/>
      <c r="I138" s="1669"/>
      <c r="J138" s="1669"/>
      <c r="K138" s="1669"/>
      <c r="L138" s="1669"/>
      <c r="M138" s="1669"/>
      <c r="N138" s="1669"/>
      <c r="O138" s="1669"/>
      <c r="P138" s="1669"/>
      <c r="Q138" s="1669"/>
      <c r="R138" s="1669"/>
      <c r="S138" s="1669"/>
      <c r="T138" s="1669"/>
      <c r="U138" s="1669"/>
      <c r="V138" s="1669"/>
      <c r="W138" s="1669"/>
      <c r="X138" s="1669"/>
      <c r="Y138" s="1669"/>
      <c r="Z138" s="1669"/>
      <c r="AA138" s="1669"/>
      <c r="AB138" s="1669"/>
      <c r="AC138" s="1669"/>
      <c r="AD138" s="1668"/>
      <c r="AE138" s="1668"/>
      <c r="AF138" s="1668"/>
      <c r="AG138" s="1668"/>
      <c r="AH138" s="1668"/>
      <c r="AI138" s="1668"/>
    </row>
    <row r="139" spans="1:35">
      <c r="A139" s="1669"/>
      <c r="B139" s="1669"/>
      <c r="C139" s="1669"/>
      <c r="D139" s="1669"/>
      <c r="E139" s="1669"/>
      <c r="F139" s="1669"/>
      <c r="G139" s="1669"/>
      <c r="H139" s="1669"/>
      <c r="I139" s="1669"/>
      <c r="J139" s="1669"/>
      <c r="K139" s="1669"/>
      <c r="L139" s="1669"/>
      <c r="M139" s="1669"/>
      <c r="N139" s="1669"/>
      <c r="O139" s="1669"/>
      <c r="P139" s="1669"/>
      <c r="Q139" s="1669"/>
      <c r="R139" s="1669"/>
      <c r="S139" s="1669"/>
      <c r="T139" s="1669"/>
      <c r="U139" s="1669"/>
      <c r="V139" s="1669"/>
      <c r="W139" s="1669"/>
      <c r="X139" s="1669"/>
      <c r="Y139" s="1669"/>
      <c r="Z139" s="1669"/>
      <c r="AA139" s="1669"/>
      <c r="AB139" s="1669"/>
      <c r="AC139" s="1669"/>
      <c r="AD139" s="1668"/>
      <c r="AE139" s="1668"/>
      <c r="AF139" s="1668"/>
      <c r="AG139" s="1668"/>
      <c r="AH139" s="1668"/>
      <c r="AI139" s="1668"/>
    </row>
    <row r="140" spans="1:35">
      <c r="A140" s="1669"/>
      <c r="B140" s="1669"/>
      <c r="C140" s="1669"/>
      <c r="D140" s="1669"/>
      <c r="E140" s="1669"/>
      <c r="F140" s="1669"/>
      <c r="G140" s="1669"/>
      <c r="H140" s="1669"/>
      <c r="I140" s="1669"/>
      <c r="J140" s="1669"/>
      <c r="K140" s="1669"/>
      <c r="L140" s="1669"/>
      <c r="M140" s="1669"/>
      <c r="N140" s="1669"/>
      <c r="O140" s="1669"/>
      <c r="P140" s="1669"/>
      <c r="Q140" s="1669"/>
      <c r="R140" s="1669"/>
      <c r="S140" s="1669"/>
      <c r="T140" s="1669"/>
      <c r="U140" s="1669"/>
      <c r="V140" s="1669"/>
      <c r="W140" s="1669"/>
      <c r="X140" s="1669"/>
      <c r="Y140" s="1669"/>
      <c r="Z140" s="1669"/>
      <c r="AA140" s="1669"/>
      <c r="AB140" s="1669"/>
      <c r="AC140" s="1669"/>
      <c r="AD140" s="1668"/>
      <c r="AE140" s="1668"/>
      <c r="AF140" s="1668"/>
      <c r="AG140" s="1668"/>
      <c r="AH140" s="1668"/>
      <c r="AI140" s="1668"/>
    </row>
    <row r="141" spans="1:35">
      <c r="A141" s="1669"/>
      <c r="B141" s="1669"/>
      <c r="C141" s="1669"/>
      <c r="D141" s="1669"/>
      <c r="E141" s="1669"/>
      <c r="F141" s="1669"/>
      <c r="G141" s="1669"/>
      <c r="H141" s="1669"/>
      <c r="I141" s="1669"/>
      <c r="J141" s="1669"/>
      <c r="K141" s="1669"/>
      <c r="L141" s="1669"/>
      <c r="M141" s="1669"/>
      <c r="N141" s="1669"/>
      <c r="O141" s="1669"/>
      <c r="P141" s="1669"/>
      <c r="Q141" s="1669"/>
      <c r="R141" s="1669"/>
      <c r="S141" s="1669"/>
      <c r="T141" s="1669"/>
      <c r="U141" s="1669"/>
      <c r="V141" s="1669"/>
      <c r="W141" s="1669"/>
      <c r="X141" s="1669"/>
      <c r="Y141" s="1669"/>
      <c r="Z141" s="1669"/>
      <c r="AA141" s="1669"/>
      <c r="AB141" s="1669"/>
      <c r="AC141" s="1669"/>
      <c r="AD141" s="1668"/>
      <c r="AE141" s="1668"/>
      <c r="AF141" s="1668"/>
      <c r="AG141" s="1668"/>
      <c r="AH141" s="1668"/>
      <c r="AI141" s="1668"/>
    </row>
    <row r="142" spans="1:35">
      <c r="A142" s="1669"/>
      <c r="B142" s="1669"/>
      <c r="C142" s="1669"/>
      <c r="D142" s="1669"/>
      <c r="E142" s="1669"/>
      <c r="F142" s="1669"/>
      <c r="G142" s="1669"/>
      <c r="H142" s="1669"/>
      <c r="I142" s="1669"/>
      <c r="J142" s="1669"/>
      <c r="K142" s="1669"/>
      <c r="L142" s="1669"/>
      <c r="M142" s="1669"/>
      <c r="N142" s="1669"/>
      <c r="O142" s="1669"/>
      <c r="P142" s="1669"/>
      <c r="Q142" s="1669"/>
      <c r="R142" s="1669"/>
      <c r="S142" s="1669"/>
      <c r="T142" s="1669"/>
      <c r="U142" s="1669"/>
      <c r="V142" s="1669"/>
      <c r="W142" s="1669"/>
      <c r="X142" s="1669"/>
      <c r="Y142" s="1669"/>
      <c r="Z142" s="1669"/>
      <c r="AA142" s="1669"/>
      <c r="AB142" s="1669"/>
      <c r="AC142" s="1669"/>
      <c r="AD142" s="1668"/>
      <c r="AE142" s="1668"/>
      <c r="AF142" s="1668"/>
      <c r="AG142" s="1668"/>
      <c r="AH142" s="1668"/>
      <c r="AI142" s="1668"/>
    </row>
    <row r="143" spans="1:35">
      <c r="A143" s="1669"/>
      <c r="B143" s="1669"/>
      <c r="C143" s="1669"/>
      <c r="D143" s="1669"/>
      <c r="E143" s="1669"/>
      <c r="F143" s="1669"/>
      <c r="G143" s="1669"/>
      <c r="H143" s="1669"/>
      <c r="I143" s="1669"/>
      <c r="J143" s="1669"/>
      <c r="K143" s="1669"/>
      <c r="L143" s="1669"/>
      <c r="M143" s="1669"/>
      <c r="N143" s="1669"/>
      <c r="O143" s="1669"/>
      <c r="P143" s="1669"/>
      <c r="Q143" s="1669"/>
      <c r="R143" s="1669"/>
      <c r="S143" s="1669"/>
      <c r="T143" s="1669"/>
      <c r="U143" s="1669"/>
      <c r="V143" s="1669"/>
      <c r="W143" s="1669"/>
      <c r="X143" s="1669"/>
      <c r="Y143" s="1669"/>
      <c r="Z143" s="1669"/>
      <c r="AA143" s="1669"/>
      <c r="AB143" s="1669"/>
      <c r="AC143" s="1669"/>
      <c r="AD143" s="1668"/>
      <c r="AE143" s="1668"/>
      <c r="AF143" s="1668"/>
      <c r="AG143" s="1668"/>
      <c r="AH143" s="1668"/>
      <c r="AI143" s="1668"/>
    </row>
    <row r="144" spans="1:35">
      <c r="A144" s="1669"/>
      <c r="B144" s="1669"/>
      <c r="C144" s="1669"/>
      <c r="D144" s="1669"/>
      <c r="E144" s="1669"/>
      <c r="F144" s="1669"/>
      <c r="G144" s="1669"/>
      <c r="H144" s="1669"/>
      <c r="I144" s="1669"/>
      <c r="J144" s="1669"/>
      <c r="K144" s="1669"/>
      <c r="L144" s="1669"/>
      <c r="M144" s="1669"/>
      <c r="N144" s="1669"/>
      <c r="O144" s="1669"/>
      <c r="P144" s="1669"/>
      <c r="Q144" s="1669"/>
      <c r="R144" s="1669"/>
      <c r="S144" s="1669"/>
      <c r="T144" s="1669"/>
      <c r="U144" s="1669"/>
      <c r="V144" s="1669"/>
      <c r="W144" s="1669"/>
      <c r="X144" s="1669"/>
      <c r="Y144" s="1669"/>
      <c r="Z144" s="1669"/>
      <c r="AA144" s="1669"/>
      <c r="AB144" s="1669"/>
      <c r="AC144" s="1669"/>
      <c r="AD144" s="1668"/>
      <c r="AE144" s="1668"/>
      <c r="AF144" s="1668"/>
      <c r="AG144" s="1668"/>
      <c r="AH144" s="1668"/>
      <c r="AI144" s="1668"/>
    </row>
    <row r="145" spans="1:35">
      <c r="A145" s="1669"/>
      <c r="B145" s="1669"/>
      <c r="C145" s="1669"/>
      <c r="D145" s="1669"/>
      <c r="E145" s="1669"/>
      <c r="F145" s="1669"/>
      <c r="G145" s="1669"/>
      <c r="H145" s="1669"/>
      <c r="I145" s="1669"/>
      <c r="J145" s="1669"/>
      <c r="K145" s="1669"/>
      <c r="L145" s="1669"/>
      <c r="M145" s="1669"/>
      <c r="N145" s="1669"/>
      <c r="O145" s="1669"/>
      <c r="P145" s="1669"/>
      <c r="Q145" s="1669"/>
      <c r="R145" s="1669"/>
      <c r="S145" s="1669"/>
      <c r="T145" s="1669"/>
      <c r="U145" s="1669"/>
      <c r="V145" s="1669"/>
      <c r="W145" s="1669"/>
      <c r="X145" s="1669"/>
      <c r="Y145" s="1669"/>
      <c r="Z145" s="1669"/>
      <c r="AA145" s="1669"/>
      <c r="AB145" s="1669"/>
      <c r="AC145" s="1669"/>
      <c r="AD145" s="1668"/>
      <c r="AE145" s="1668"/>
      <c r="AF145" s="1668"/>
      <c r="AG145" s="1668"/>
      <c r="AH145" s="1668"/>
      <c r="AI145" s="1668"/>
    </row>
    <row r="146" spans="1:35">
      <c r="A146" s="1669"/>
      <c r="B146" s="1669"/>
      <c r="C146" s="1669"/>
      <c r="D146" s="1669"/>
      <c r="E146" s="1669"/>
      <c r="F146" s="1669"/>
      <c r="G146" s="1669"/>
      <c r="H146" s="1669"/>
      <c r="I146" s="1669"/>
      <c r="J146" s="1669"/>
      <c r="K146" s="1669"/>
      <c r="L146" s="1669"/>
      <c r="M146" s="1669"/>
      <c r="N146" s="1669"/>
      <c r="O146" s="1669"/>
      <c r="P146" s="1669"/>
      <c r="Q146" s="1669"/>
      <c r="R146" s="1669"/>
      <c r="S146" s="1669"/>
      <c r="T146" s="1669"/>
      <c r="U146" s="1669"/>
      <c r="V146" s="1669"/>
      <c r="W146" s="1669"/>
      <c r="X146" s="1669"/>
      <c r="Y146" s="1669"/>
      <c r="Z146" s="1669"/>
      <c r="AA146" s="1669"/>
      <c r="AB146" s="1669"/>
      <c r="AC146" s="1669"/>
      <c r="AD146" s="1668"/>
      <c r="AE146" s="1668"/>
      <c r="AF146" s="1668"/>
      <c r="AG146" s="1668"/>
      <c r="AH146" s="1668"/>
      <c r="AI146" s="1668"/>
    </row>
    <row r="147" spans="1:35">
      <c r="A147" s="1669"/>
      <c r="B147" s="1669"/>
      <c r="C147" s="1669"/>
      <c r="D147" s="1669"/>
      <c r="E147" s="1669"/>
      <c r="F147" s="1669"/>
      <c r="G147" s="1669"/>
      <c r="H147" s="1669"/>
      <c r="I147" s="1669"/>
      <c r="J147" s="1669"/>
      <c r="K147" s="1669"/>
      <c r="L147" s="1669"/>
      <c r="M147" s="1669"/>
      <c r="N147" s="1669"/>
      <c r="O147" s="1669"/>
      <c r="P147" s="1669"/>
      <c r="Q147" s="1669"/>
      <c r="R147" s="1669"/>
      <c r="S147" s="1669"/>
      <c r="T147" s="1669"/>
      <c r="U147" s="1669"/>
      <c r="V147" s="1669"/>
      <c r="W147" s="1669"/>
      <c r="X147" s="1669"/>
      <c r="Y147" s="1669"/>
      <c r="Z147" s="1669"/>
      <c r="AA147" s="1669"/>
      <c r="AB147" s="1669"/>
      <c r="AC147" s="1669"/>
      <c r="AD147" s="1668"/>
      <c r="AE147" s="1668"/>
      <c r="AF147" s="1668"/>
      <c r="AG147" s="1668"/>
      <c r="AH147" s="1668"/>
      <c r="AI147" s="1668"/>
    </row>
    <row r="148" spans="1:35">
      <c r="A148" s="1669"/>
      <c r="B148" s="1669"/>
      <c r="C148" s="1669"/>
      <c r="D148" s="1669"/>
      <c r="E148" s="1669"/>
      <c r="F148" s="1669"/>
      <c r="G148" s="1669"/>
      <c r="H148" s="1669"/>
      <c r="I148" s="1669"/>
      <c r="J148" s="1669"/>
      <c r="K148" s="1669"/>
      <c r="L148" s="1669"/>
      <c r="M148" s="1669"/>
      <c r="N148" s="1669"/>
      <c r="O148" s="1669"/>
      <c r="P148" s="1669"/>
      <c r="Q148" s="1669"/>
      <c r="R148" s="1669"/>
      <c r="S148" s="1669"/>
      <c r="T148" s="1669"/>
      <c r="U148" s="1669"/>
      <c r="V148" s="1669"/>
      <c r="W148" s="1669"/>
      <c r="X148" s="1669"/>
      <c r="Y148" s="1669"/>
      <c r="Z148" s="1669"/>
      <c r="AA148" s="1669"/>
      <c r="AB148" s="1669"/>
      <c r="AC148" s="1669"/>
      <c r="AD148" s="1668"/>
      <c r="AE148" s="1668"/>
      <c r="AF148" s="1668"/>
      <c r="AG148" s="1668"/>
      <c r="AH148" s="1668"/>
      <c r="AI148" s="1668"/>
    </row>
    <row r="149" spans="1:35">
      <c r="A149" s="1669"/>
      <c r="B149" s="1669"/>
      <c r="C149" s="1669"/>
      <c r="D149" s="1669"/>
      <c r="E149" s="1669"/>
      <c r="F149" s="1669"/>
      <c r="G149" s="1669"/>
      <c r="H149" s="1669"/>
      <c r="I149" s="1669"/>
      <c r="J149" s="1669"/>
      <c r="K149" s="1669"/>
      <c r="L149" s="1669"/>
      <c r="M149" s="1669"/>
      <c r="N149" s="1669"/>
      <c r="O149" s="1669"/>
      <c r="P149" s="1669"/>
      <c r="Q149" s="1669"/>
      <c r="R149" s="1669"/>
      <c r="S149" s="1669"/>
      <c r="T149" s="1669"/>
      <c r="U149" s="1669"/>
      <c r="V149" s="1669"/>
      <c r="W149" s="1669"/>
      <c r="X149" s="1669"/>
      <c r="Y149" s="1669"/>
      <c r="Z149" s="1669"/>
      <c r="AA149" s="1669"/>
      <c r="AB149" s="1669"/>
      <c r="AC149" s="1669"/>
      <c r="AD149" s="1668"/>
      <c r="AE149" s="1668"/>
      <c r="AF149" s="1668"/>
      <c r="AG149" s="1668"/>
      <c r="AH149" s="1668"/>
      <c r="AI149" s="1668"/>
    </row>
    <row r="150" spans="1:35">
      <c r="A150" s="1669"/>
      <c r="B150" s="1669"/>
      <c r="C150" s="1669"/>
      <c r="D150" s="1669"/>
      <c r="E150" s="1669"/>
      <c r="F150" s="1669"/>
      <c r="G150" s="1669"/>
      <c r="H150" s="1669"/>
      <c r="I150" s="1669"/>
      <c r="J150" s="1669"/>
      <c r="K150" s="1669"/>
      <c r="L150" s="1669"/>
      <c r="M150" s="1669"/>
      <c r="N150" s="1669"/>
      <c r="O150" s="1669"/>
      <c r="P150" s="1669"/>
      <c r="Q150" s="1669"/>
      <c r="R150" s="1669"/>
      <c r="S150" s="1669"/>
      <c r="T150" s="1669"/>
      <c r="U150" s="1669"/>
      <c r="V150" s="1669"/>
      <c r="W150" s="1669"/>
      <c r="X150" s="1669"/>
      <c r="Y150" s="1669"/>
      <c r="Z150" s="1669"/>
      <c r="AA150" s="1669"/>
      <c r="AB150" s="1669"/>
      <c r="AC150" s="1669"/>
      <c r="AD150" s="1668"/>
      <c r="AE150" s="1668"/>
      <c r="AF150" s="1668"/>
      <c r="AG150" s="1668"/>
      <c r="AH150" s="1668"/>
      <c r="AI150" s="1668"/>
    </row>
    <row r="151" spans="1:35">
      <c r="A151" s="1669"/>
      <c r="B151" s="1669"/>
      <c r="C151" s="1669"/>
      <c r="D151" s="1669"/>
      <c r="E151" s="1669"/>
      <c r="F151" s="1669"/>
      <c r="G151" s="1669"/>
      <c r="H151" s="1669"/>
      <c r="I151" s="1669"/>
      <c r="J151" s="1669"/>
      <c r="K151" s="1669"/>
      <c r="L151" s="1669"/>
      <c r="M151" s="1669"/>
      <c r="N151" s="1669"/>
      <c r="O151" s="1669"/>
      <c r="P151" s="1669"/>
      <c r="Q151" s="1669"/>
      <c r="R151" s="1669"/>
      <c r="S151" s="1669"/>
      <c r="T151" s="1669"/>
      <c r="U151" s="1669"/>
      <c r="V151" s="1669"/>
      <c r="W151" s="1669"/>
      <c r="X151" s="1669"/>
      <c r="Y151" s="1669"/>
      <c r="Z151" s="1669"/>
      <c r="AA151" s="1669"/>
      <c r="AB151" s="1669"/>
      <c r="AC151" s="1669"/>
      <c r="AD151" s="1668"/>
      <c r="AE151" s="1668"/>
      <c r="AF151" s="1668"/>
      <c r="AG151" s="1668"/>
      <c r="AH151" s="1668"/>
      <c r="AI151" s="1668"/>
    </row>
    <row r="152" spans="1:35">
      <c r="A152" s="1669"/>
      <c r="B152" s="1669"/>
      <c r="C152" s="1669"/>
      <c r="D152" s="1669"/>
      <c r="E152" s="1669"/>
      <c r="F152" s="1669"/>
      <c r="G152" s="1669"/>
      <c r="H152" s="1669"/>
      <c r="I152" s="1669"/>
      <c r="J152" s="1669"/>
      <c r="K152" s="1669"/>
      <c r="L152" s="1669"/>
      <c r="M152" s="1669"/>
      <c r="N152" s="1669"/>
      <c r="O152" s="1669"/>
      <c r="P152" s="1669"/>
      <c r="Q152" s="1669"/>
      <c r="R152" s="1669"/>
      <c r="S152" s="1669"/>
      <c r="T152" s="1669"/>
      <c r="U152" s="1669"/>
      <c r="V152" s="1669"/>
      <c r="W152" s="1669"/>
      <c r="X152" s="1669"/>
      <c r="Y152" s="1669"/>
      <c r="Z152" s="1669"/>
      <c r="AA152" s="1669"/>
      <c r="AB152" s="1669"/>
      <c r="AC152" s="1669"/>
      <c r="AD152" s="1668"/>
      <c r="AE152" s="1668"/>
      <c r="AF152" s="1668"/>
      <c r="AG152" s="1668"/>
      <c r="AH152" s="1668"/>
      <c r="AI152" s="1668"/>
    </row>
    <row r="153" spans="1:35">
      <c r="A153" s="1669"/>
      <c r="B153" s="1669"/>
      <c r="C153" s="1669"/>
      <c r="D153" s="1669"/>
      <c r="E153" s="1669"/>
      <c r="F153" s="1669"/>
      <c r="G153" s="1669"/>
      <c r="H153" s="1669"/>
      <c r="I153" s="1669"/>
      <c r="J153" s="1669"/>
      <c r="K153" s="1669"/>
      <c r="L153" s="1669"/>
      <c r="M153" s="1669"/>
      <c r="N153" s="1669"/>
      <c r="O153" s="1669"/>
      <c r="P153" s="1669"/>
      <c r="Q153" s="1669"/>
      <c r="R153" s="1669"/>
      <c r="S153" s="1669"/>
      <c r="T153" s="1669"/>
      <c r="U153" s="1669"/>
      <c r="V153" s="1669"/>
      <c r="W153" s="1669"/>
      <c r="X153" s="1669"/>
      <c r="Y153" s="1669"/>
      <c r="Z153" s="1669"/>
      <c r="AA153" s="1669"/>
      <c r="AB153" s="1669"/>
      <c r="AC153" s="1669"/>
      <c r="AD153" s="1668"/>
      <c r="AE153" s="1668"/>
      <c r="AF153" s="1668"/>
      <c r="AG153" s="1668"/>
      <c r="AH153" s="1668"/>
      <c r="AI153" s="1668"/>
    </row>
    <row r="154" spans="1:35">
      <c r="A154" s="1669"/>
      <c r="B154" s="1669"/>
      <c r="C154" s="1669"/>
      <c r="D154" s="1669"/>
      <c r="E154" s="1669"/>
      <c r="F154" s="1669"/>
      <c r="G154" s="1669"/>
      <c r="H154" s="1669"/>
      <c r="I154" s="1669"/>
      <c r="J154" s="1669"/>
      <c r="K154" s="1669"/>
      <c r="L154" s="1669"/>
      <c r="M154" s="1669"/>
      <c r="N154" s="1669"/>
      <c r="O154" s="1669"/>
      <c r="P154" s="1669"/>
      <c r="Q154" s="1669"/>
      <c r="R154" s="1669"/>
      <c r="S154" s="1669"/>
      <c r="T154" s="1669"/>
      <c r="U154" s="1669"/>
      <c r="V154" s="1669"/>
      <c r="W154" s="1669"/>
      <c r="X154" s="1669"/>
      <c r="Y154" s="1669"/>
      <c r="Z154" s="1669"/>
      <c r="AA154" s="1669"/>
      <c r="AB154" s="1669"/>
      <c r="AC154" s="1669"/>
      <c r="AD154" s="1668"/>
      <c r="AE154" s="1668"/>
      <c r="AF154" s="1668"/>
      <c r="AG154" s="1668"/>
      <c r="AH154" s="1668"/>
      <c r="AI154" s="1668"/>
    </row>
    <row r="155" spans="1:35">
      <c r="A155" s="1669"/>
      <c r="B155" s="1669"/>
      <c r="C155" s="1669"/>
      <c r="D155" s="1669"/>
      <c r="E155" s="1669"/>
      <c r="F155" s="1669"/>
      <c r="G155" s="1669"/>
      <c r="H155" s="1669"/>
      <c r="I155" s="1669"/>
      <c r="J155" s="1669"/>
      <c r="K155" s="1669"/>
      <c r="L155" s="1669"/>
      <c r="M155" s="1669"/>
      <c r="N155" s="1669"/>
      <c r="O155" s="1669"/>
      <c r="P155" s="1669"/>
      <c r="Q155" s="1669"/>
      <c r="R155" s="1669"/>
      <c r="S155" s="1669"/>
      <c r="T155" s="1669"/>
      <c r="U155" s="1669"/>
      <c r="V155" s="1669"/>
      <c r="W155" s="1669"/>
      <c r="X155" s="1669"/>
      <c r="Y155" s="1669"/>
      <c r="Z155" s="1669"/>
      <c r="AA155" s="1669"/>
      <c r="AB155" s="1669"/>
      <c r="AC155" s="1669"/>
      <c r="AD155" s="1668"/>
      <c r="AE155" s="1668"/>
      <c r="AF155" s="1668"/>
      <c r="AG155" s="1668"/>
      <c r="AH155" s="1668"/>
      <c r="AI155" s="1668"/>
    </row>
    <row r="156" spans="1:35">
      <c r="A156" s="1669"/>
      <c r="B156" s="1669"/>
      <c r="C156" s="1669"/>
      <c r="D156" s="1669"/>
      <c r="E156" s="1669"/>
      <c r="F156" s="1669"/>
      <c r="G156" s="1669"/>
      <c r="H156" s="1669"/>
      <c r="I156" s="1669"/>
      <c r="J156" s="1669"/>
      <c r="K156" s="1669"/>
      <c r="L156" s="1669"/>
      <c r="M156" s="1669"/>
      <c r="N156" s="1669"/>
      <c r="O156" s="1669"/>
      <c r="P156" s="1669"/>
      <c r="Q156" s="1669"/>
      <c r="R156" s="1669"/>
      <c r="S156" s="1669"/>
      <c r="T156" s="1669"/>
      <c r="U156" s="1669"/>
      <c r="V156" s="1669"/>
      <c r="W156" s="1669"/>
      <c r="X156" s="1669"/>
      <c r="Y156" s="1669"/>
      <c r="Z156" s="1669"/>
      <c r="AA156" s="1669"/>
      <c r="AB156" s="1669"/>
      <c r="AC156" s="1669"/>
      <c r="AD156" s="1668"/>
      <c r="AE156" s="1668"/>
      <c r="AF156" s="1668"/>
      <c r="AG156" s="1668"/>
      <c r="AH156" s="1668"/>
      <c r="AI156" s="1668"/>
    </row>
    <row r="157" spans="1:35">
      <c r="A157" s="1669"/>
      <c r="B157" s="1669"/>
      <c r="C157" s="1669"/>
      <c r="D157" s="1669"/>
      <c r="E157" s="1669"/>
      <c r="F157" s="1669"/>
      <c r="G157" s="1669"/>
      <c r="H157" s="1669"/>
      <c r="I157" s="1669"/>
      <c r="J157" s="1669"/>
      <c r="K157" s="1669"/>
      <c r="L157" s="1669"/>
      <c r="M157" s="1669"/>
      <c r="N157" s="1669"/>
      <c r="O157" s="1669"/>
      <c r="P157" s="1669"/>
      <c r="Q157" s="1669"/>
      <c r="R157" s="1669"/>
      <c r="S157" s="1669"/>
      <c r="T157" s="1669"/>
      <c r="U157" s="1669"/>
      <c r="V157" s="1669"/>
      <c r="W157" s="1669"/>
      <c r="X157" s="1669"/>
      <c r="Y157" s="1669"/>
      <c r="Z157" s="1669"/>
      <c r="AA157" s="1669"/>
      <c r="AB157" s="1669"/>
      <c r="AC157" s="1669"/>
      <c r="AD157" s="1668"/>
      <c r="AE157" s="1668"/>
      <c r="AF157" s="1668"/>
      <c r="AG157" s="1668"/>
      <c r="AH157" s="1668"/>
      <c r="AI157" s="1668"/>
    </row>
    <row r="158" spans="1:35">
      <c r="A158" s="1669"/>
      <c r="B158" s="1669"/>
      <c r="C158" s="1669"/>
      <c r="D158" s="1669"/>
      <c r="E158" s="1669"/>
      <c r="F158" s="1669"/>
      <c r="G158" s="1669"/>
      <c r="H158" s="1669"/>
      <c r="I158" s="1669"/>
      <c r="J158" s="1669"/>
      <c r="K158" s="1669"/>
      <c r="L158" s="1669"/>
      <c r="M158" s="1669"/>
      <c r="N158" s="1669"/>
      <c r="O158" s="1669"/>
      <c r="P158" s="1669"/>
      <c r="Q158" s="1669"/>
      <c r="R158" s="1669"/>
      <c r="S158" s="1669"/>
      <c r="T158" s="1669"/>
      <c r="U158" s="1669"/>
      <c r="V158" s="1669"/>
      <c r="W158" s="1669"/>
      <c r="X158" s="1669"/>
      <c r="Y158" s="1669"/>
      <c r="Z158" s="1669"/>
      <c r="AA158" s="1669"/>
      <c r="AB158" s="1669"/>
      <c r="AC158" s="1669"/>
      <c r="AD158" s="1668"/>
      <c r="AE158" s="1668"/>
      <c r="AF158" s="1668"/>
      <c r="AG158" s="1668"/>
      <c r="AH158" s="1668"/>
      <c r="AI158" s="1668"/>
    </row>
    <row r="159" spans="1:35">
      <c r="A159" s="1669"/>
      <c r="B159" s="1669"/>
      <c r="C159" s="1669"/>
      <c r="D159" s="1669"/>
      <c r="E159" s="1669"/>
      <c r="F159" s="1669"/>
      <c r="G159" s="1669"/>
      <c r="H159" s="1669"/>
      <c r="I159" s="1669"/>
      <c r="J159" s="1669"/>
      <c r="K159" s="1669"/>
      <c r="L159" s="1669"/>
      <c r="M159" s="1669"/>
      <c r="N159" s="1669"/>
      <c r="O159" s="1669"/>
      <c r="P159" s="1669"/>
      <c r="Q159" s="1669"/>
      <c r="R159" s="1669"/>
      <c r="S159" s="1669"/>
      <c r="T159" s="1669"/>
      <c r="U159" s="1669"/>
      <c r="V159" s="1669"/>
      <c r="W159" s="1669"/>
      <c r="X159" s="1669"/>
      <c r="Y159" s="1669"/>
      <c r="Z159" s="1669"/>
      <c r="AA159" s="1669"/>
      <c r="AB159" s="1669"/>
      <c r="AC159" s="1669"/>
      <c r="AD159" s="1668"/>
      <c r="AE159" s="1668"/>
      <c r="AF159" s="1668"/>
      <c r="AG159" s="1668"/>
      <c r="AH159" s="1668"/>
      <c r="AI159" s="1668"/>
    </row>
    <row r="160" spans="1:35">
      <c r="A160" s="1669"/>
      <c r="B160" s="1669"/>
      <c r="C160" s="1669"/>
      <c r="D160" s="1669"/>
      <c r="E160" s="1669"/>
      <c r="F160" s="1669"/>
      <c r="G160" s="1669"/>
      <c r="H160" s="1669"/>
      <c r="I160" s="1669"/>
      <c r="J160" s="1669"/>
      <c r="K160" s="1669"/>
      <c r="L160" s="1669"/>
      <c r="M160" s="1669"/>
      <c r="N160" s="1669"/>
      <c r="O160" s="1669"/>
      <c r="P160" s="1669"/>
      <c r="Q160" s="1669"/>
      <c r="R160" s="1669"/>
      <c r="S160" s="1669"/>
      <c r="T160" s="1669"/>
      <c r="U160" s="1669"/>
      <c r="V160" s="1669"/>
      <c r="W160" s="1669"/>
      <c r="X160" s="1669"/>
      <c r="Y160" s="1669"/>
      <c r="Z160" s="1669"/>
      <c r="AA160" s="1669"/>
      <c r="AB160" s="1669"/>
      <c r="AC160" s="1669"/>
      <c r="AD160" s="1668"/>
      <c r="AE160" s="1668"/>
      <c r="AF160" s="1668"/>
      <c r="AG160" s="1668"/>
      <c r="AH160" s="1668"/>
      <c r="AI160" s="1668"/>
    </row>
    <row r="161" spans="1:35">
      <c r="A161" s="1669"/>
      <c r="B161" s="1669"/>
      <c r="C161" s="1669"/>
      <c r="D161" s="1669"/>
      <c r="E161" s="1669"/>
      <c r="F161" s="1669"/>
      <c r="G161" s="1669"/>
      <c r="H161" s="1669"/>
      <c r="I161" s="1669"/>
      <c r="J161" s="1669"/>
      <c r="K161" s="1669"/>
      <c r="L161" s="1669"/>
      <c r="M161" s="1669"/>
      <c r="N161" s="1669"/>
      <c r="O161" s="1669"/>
      <c r="P161" s="1669"/>
      <c r="Q161" s="1669"/>
      <c r="R161" s="1669"/>
      <c r="S161" s="1669"/>
      <c r="T161" s="1669"/>
      <c r="U161" s="1669"/>
      <c r="V161" s="1669"/>
      <c r="W161" s="1669"/>
      <c r="X161" s="1669"/>
      <c r="Y161" s="1669"/>
      <c r="Z161" s="1669"/>
      <c r="AA161" s="1669"/>
      <c r="AB161" s="1669"/>
      <c r="AC161" s="1669"/>
      <c r="AD161" s="1668"/>
      <c r="AE161" s="1668"/>
      <c r="AF161" s="1668"/>
      <c r="AG161" s="1668"/>
      <c r="AH161" s="1668"/>
      <c r="AI161" s="1668"/>
    </row>
    <row r="162" spans="1:35">
      <c r="A162" s="1669"/>
      <c r="B162" s="1669"/>
      <c r="C162" s="1669"/>
      <c r="D162" s="1669"/>
      <c r="E162" s="1669"/>
      <c r="F162" s="1669"/>
      <c r="G162" s="1669"/>
      <c r="H162" s="1669"/>
      <c r="I162" s="1669"/>
      <c r="J162" s="1669"/>
      <c r="K162" s="1669"/>
      <c r="L162" s="1669"/>
      <c r="M162" s="1669"/>
      <c r="N162" s="1669"/>
      <c r="O162" s="1669"/>
      <c r="P162" s="1669"/>
      <c r="Q162" s="1669"/>
      <c r="R162" s="1669"/>
      <c r="S162" s="1669"/>
      <c r="T162" s="1669"/>
      <c r="U162" s="1669"/>
      <c r="V162" s="1669"/>
      <c r="W162" s="1669"/>
      <c r="X162" s="1669"/>
      <c r="Y162" s="1669"/>
      <c r="Z162" s="1669"/>
      <c r="AA162" s="1669"/>
      <c r="AB162" s="1669"/>
      <c r="AC162" s="1669"/>
      <c r="AD162" s="1668"/>
      <c r="AE162" s="1668"/>
      <c r="AF162" s="1668"/>
      <c r="AG162" s="1668"/>
      <c r="AH162" s="1668"/>
      <c r="AI162" s="1668"/>
    </row>
    <row r="163" spans="1:35">
      <c r="A163" s="1669"/>
      <c r="B163" s="1669"/>
      <c r="C163" s="1669"/>
      <c r="D163" s="1669"/>
      <c r="E163" s="1669"/>
      <c r="F163" s="1669"/>
      <c r="G163" s="1669"/>
      <c r="H163" s="1669"/>
      <c r="I163" s="1669"/>
      <c r="J163" s="1669"/>
      <c r="K163" s="1669"/>
      <c r="L163" s="1669"/>
      <c r="M163" s="1669"/>
      <c r="N163" s="1669"/>
      <c r="O163" s="1669"/>
      <c r="P163" s="1669"/>
      <c r="Q163" s="1669"/>
      <c r="R163" s="1669"/>
      <c r="S163" s="1669"/>
      <c r="T163" s="1669"/>
      <c r="U163" s="1669"/>
      <c r="V163" s="1669"/>
      <c r="W163" s="1669"/>
      <c r="X163" s="1669"/>
      <c r="Y163" s="1669"/>
      <c r="Z163" s="1669"/>
      <c r="AA163" s="1669"/>
      <c r="AB163" s="1669"/>
      <c r="AC163" s="1669"/>
      <c r="AD163" s="1668"/>
      <c r="AE163" s="1668"/>
      <c r="AF163" s="1668"/>
      <c r="AG163" s="1668"/>
      <c r="AH163" s="1668"/>
      <c r="AI163" s="1668"/>
    </row>
    <row r="164" spans="1:35">
      <c r="A164" s="1669"/>
      <c r="B164" s="1669"/>
      <c r="C164" s="1669"/>
      <c r="D164" s="1669"/>
      <c r="E164" s="1669"/>
      <c r="F164" s="1669"/>
      <c r="G164" s="1669"/>
      <c r="H164" s="1669"/>
      <c r="I164" s="1669"/>
      <c r="J164" s="1669"/>
      <c r="K164" s="1669"/>
      <c r="L164" s="1669"/>
      <c r="M164" s="1669"/>
      <c r="N164" s="1669"/>
      <c r="O164" s="1669"/>
      <c r="P164" s="1669"/>
      <c r="Q164" s="1669"/>
      <c r="R164" s="1669"/>
      <c r="S164" s="1669"/>
      <c r="T164" s="1669"/>
      <c r="U164" s="1669"/>
      <c r="V164" s="1669"/>
      <c r="W164" s="1669"/>
      <c r="X164" s="1669"/>
      <c r="Y164" s="1669"/>
      <c r="Z164" s="1669"/>
      <c r="AA164" s="1669"/>
      <c r="AB164" s="1669"/>
      <c r="AC164" s="1669"/>
      <c r="AD164" s="1668"/>
      <c r="AE164" s="1668"/>
      <c r="AF164" s="1668"/>
      <c r="AG164" s="1668"/>
      <c r="AH164" s="1668"/>
      <c r="AI164" s="1668"/>
    </row>
    <row r="165" spans="1:35">
      <c r="A165" s="1669"/>
      <c r="B165" s="1669"/>
      <c r="C165" s="1669"/>
      <c r="D165" s="1669"/>
      <c r="E165" s="1669"/>
      <c r="F165" s="1669"/>
      <c r="G165" s="1669"/>
      <c r="H165" s="1669"/>
      <c r="I165" s="1669"/>
      <c r="J165" s="1669"/>
      <c r="K165" s="1669"/>
      <c r="L165" s="1669"/>
      <c r="M165" s="1669"/>
      <c r="N165" s="1669"/>
      <c r="O165" s="1669"/>
      <c r="P165" s="1669"/>
      <c r="Q165" s="1669"/>
      <c r="R165" s="1669"/>
      <c r="S165" s="1669"/>
      <c r="T165" s="1669"/>
      <c r="U165" s="1669"/>
      <c r="V165" s="1669"/>
      <c r="W165" s="1669"/>
      <c r="X165" s="1669"/>
      <c r="Y165" s="1669"/>
      <c r="Z165" s="1669"/>
      <c r="AA165" s="1669"/>
      <c r="AB165" s="1669"/>
      <c r="AC165" s="1669"/>
      <c r="AD165" s="1668"/>
      <c r="AE165" s="1668"/>
      <c r="AF165" s="1668"/>
      <c r="AG165" s="1668"/>
      <c r="AH165" s="1668"/>
      <c r="AI165" s="1668"/>
    </row>
    <row r="166" spans="1:35">
      <c r="A166" s="1669"/>
      <c r="B166" s="1669"/>
      <c r="C166" s="1669"/>
      <c r="D166" s="1669"/>
      <c r="E166" s="1669"/>
      <c r="F166" s="1669"/>
      <c r="G166" s="1669"/>
      <c r="H166" s="1669"/>
      <c r="I166" s="1669"/>
      <c r="J166" s="1669"/>
      <c r="K166" s="1669"/>
      <c r="L166" s="1669"/>
      <c r="M166" s="1669"/>
      <c r="N166" s="1669"/>
      <c r="O166" s="1669"/>
      <c r="P166" s="1669"/>
      <c r="Q166" s="1669"/>
      <c r="R166" s="1669"/>
      <c r="S166" s="1669"/>
      <c r="T166" s="1669"/>
      <c r="U166" s="1669"/>
      <c r="V166" s="1669"/>
      <c r="W166" s="1669"/>
      <c r="X166" s="1669"/>
      <c r="Y166" s="1669"/>
      <c r="Z166" s="1669"/>
      <c r="AA166" s="1669"/>
      <c r="AB166" s="1669"/>
      <c r="AC166" s="1669"/>
      <c r="AD166" s="1668"/>
      <c r="AE166" s="1668"/>
      <c r="AF166" s="1668"/>
      <c r="AG166" s="1668"/>
      <c r="AH166" s="1668"/>
      <c r="AI166" s="1668"/>
    </row>
    <row r="167" spans="1:35">
      <c r="A167" s="1669"/>
      <c r="B167" s="1669"/>
      <c r="C167" s="1669"/>
      <c r="D167" s="1669"/>
      <c r="E167" s="1669"/>
      <c r="F167" s="1669"/>
      <c r="G167" s="1669"/>
      <c r="H167" s="1669"/>
      <c r="I167" s="1669"/>
      <c r="J167" s="1669"/>
      <c r="K167" s="1669"/>
      <c r="L167" s="1669"/>
      <c r="M167" s="1669"/>
      <c r="N167" s="1669"/>
      <c r="O167" s="1669"/>
      <c r="P167" s="1669"/>
      <c r="Q167" s="1669"/>
      <c r="R167" s="1669"/>
      <c r="S167" s="1669"/>
      <c r="T167" s="1669"/>
      <c r="U167" s="1669"/>
      <c r="V167" s="1669"/>
      <c r="W167" s="1669"/>
      <c r="X167" s="1669"/>
      <c r="Y167" s="1669"/>
      <c r="Z167" s="1669"/>
      <c r="AA167" s="1669"/>
      <c r="AB167" s="1669"/>
      <c r="AC167" s="1669"/>
      <c r="AD167" s="1668"/>
      <c r="AE167" s="1668"/>
      <c r="AF167" s="1668"/>
      <c r="AG167" s="1668"/>
      <c r="AH167" s="1668"/>
      <c r="AI167" s="1668"/>
    </row>
    <row r="168" spans="1:35">
      <c r="A168" s="1669"/>
      <c r="B168" s="1669"/>
      <c r="C168" s="1669"/>
      <c r="D168" s="1669"/>
      <c r="E168" s="1669"/>
      <c r="F168" s="1669"/>
      <c r="G168" s="1669"/>
      <c r="H168" s="1669"/>
      <c r="I168" s="1669"/>
      <c r="J168" s="1669"/>
      <c r="K168" s="1669"/>
      <c r="L168" s="1669"/>
      <c r="M168" s="1669"/>
      <c r="N168" s="1669"/>
      <c r="O168" s="1669"/>
      <c r="P168" s="1669"/>
      <c r="Q168" s="1669"/>
      <c r="R168" s="1669"/>
      <c r="S168" s="1669"/>
      <c r="T168" s="1669"/>
      <c r="U168" s="1669"/>
      <c r="V168" s="1669"/>
      <c r="W168" s="1669"/>
      <c r="X168" s="1669"/>
      <c r="Y168" s="1669"/>
      <c r="Z168" s="1669"/>
      <c r="AA168" s="1669"/>
      <c r="AB168" s="1669"/>
      <c r="AC168" s="1669"/>
      <c r="AD168" s="1668"/>
      <c r="AE168" s="1668"/>
      <c r="AF168" s="1668"/>
      <c r="AG168" s="1668"/>
      <c r="AH168" s="1668"/>
      <c r="AI168" s="1668"/>
    </row>
    <row r="169" spans="1:35">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c r="AA169" s="1669"/>
      <c r="AB169" s="1669"/>
      <c r="AC169" s="1669"/>
      <c r="AD169" s="1668"/>
      <c r="AE169" s="1668"/>
      <c r="AF169" s="1668"/>
      <c r="AG169" s="1668"/>
      <c r="AH169" s="1668"/>
      <c r="AI169" s="1668"/>
    </row>
    <row r="170" spans="1:35">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D170" s="1668"/>
      <c r="AE170" s="1668"/>
      <c r="AF170" s="1668"/>
      <c r="AG170" s="1668"/>
      <c r="AH170" s="1668"/>
      <c r="AI170" s="1668"/>
    </row>
    <row r="171" spans="1:35">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c r="AA171" s="1669"/>
      <c r="AB171" s="1669"/>
      <c r="AC171" s="1669"/>
      <c r="AD171" s="1668"/>
      <c r="AE171" s="1668"/>
      <c r="AF171" s="1668"/>
      <c r="AG171" s="1668"/>
      <c r="AH171" s="1668"/>
      <c r="AI171" s="1668"/>
    </row>
    <row r="172" spans="1:35">
      <c r="A172" s="1669"/>
      <c r="B172" s="1669"/>
      <c r="C172" s="1669"/>
      <c r="D172" s="1669"/>
      <c r="E172" s="1669"/>
      <c r="F172" s="1669"/>
      <c r="G172" s="1669"/>
      <c r="H172" s="1669"/>
      <c r="I172" s="1669"/>
      <c r="J172" s="1669"/>
      <c r="K172" s="1669"/>
      <c r="L172" s="1669"/>
      <c r="M172" s="1669"/>
      <c r="N172" s="1669"/>
      <c r="O172" s="1669"/>
      <c r="P172" s="1669"/>
      <c r="Q172" s="1669"/>
      <c r="R172" s="1669"/>
      <c r="S172" s="1669"/>
      <c r="T172" s="1669"/>
      <c r="U172" s="1669"/>
      <c r="V172" s="1669"/>
      <c r="W172" s="1669"/>
      <c r="X172" s="1669"/>
      <c r="Y172" s="1669"/>
      <c r="Z172" s="1669"/>
      <c r="AA172" s="1669"/>
      <c r="AB172" s="1669"/>
      <c r="AC172" s="1669"/>
      <c r="AD172" s="1668"/>
      <c r="AE172" s="1668"/>
      <c r="AF172" s="1668"/>
      <c r="AG172" s="1668"/>
      <c r="AH172" s="1668"/>
      <c r="AI172" s="1668"/>
    </row>
    <row r="173" spans="1:35">
      <c r="A173" s="1669"/>
      <c r="B173" s="1669"/>
      <c r="C173" s="1669"/>
      <c r="D173" s="1669"/>
      <c r="E173" s="1669"/>
      <c r="F173" s="1669"/>
      <c r="G173" s="1669"/>
      <c r="H173" s="1669"/>
      <c r="I173" s="1669"/>
      <c r="J173" s="1669"/>
      <c r="K173" s="1669"/>
      <c r="L173" s="1669"/>
      <c r="M173" s="1669"/>
      <c r="N173" s="1669"/>
      <c r="O173" s="1669"/>
      <c r="P173" s="1669"/>
      <c r="Q173" s="1669"/>
      <c r="R173" s="1669"/>
      <c r="S173" s="1669"/>
      <c r="T173" s="1669"/>
      <c r="U173" s="1669"/>
      <c r="V173" s="1669"/>
      <c r="W173" s="1669"/>
      <c r="X173" s="1669"/>
      <c r="Y173" s="1669"/>
      <c r="Z173" s="1669"/>
      <c r="AA173" s="1669"/>
      <c r="AB173" s="1669"/>
      <c r="AC173" s="1669"/>
      <c r="AD173" s="1668"/>
      <c r="AE173" s="1668"/>
      <c r="AF173" s="1668"/>
      <c r="AG173" s="1668"/>
      <c r="AH173" s="1668"/>
      <c r="AI173" s="1668"/>
    </row>
    <row r="174" spans="1:35">
      <c r="A174" s="1669"/>
      <c r="B174" s="1669"/>
      <c r="C174" s="1669"/>
      <c r="D174" s="1669"/>
      <c r="E174" s="1669"/>
      <c r="F174" s="1669"/>
      <c r="G174" s="1669"/>
      <c r="H174" s="1669"/>
      <c r="I174" s="1669"/>
      <c r="J174" s="1669"/>
      <c r="K174" s="1669"/>
      <c r="L174" s="1669"/>
      <c r="M174" s="1669"/>
      <c r="N174" s="1669"/>
      <c r="O174" s="1669"/>
      <c r="P174" s="1669"/>
      <c r="Q174" s="1669"/>
      <c r="R174" s="1669"/>
      <c r="S174" s="1669"/>
      <c r="T174" s="1669"/>
      <c r="U174" s="1669"/>
      <c r="V174" s="1669"/>
      <c r="W174" s="1669"/>
      <c r="X174" s="1669"/>
      <c r="Y174" s="1669"/>
      <c r="Z174" s="1669"/>
      <c r="AA174" s="1669"/>
      <c r="AB174" s="1669"/>
      <c r="AC174" s="1669"/>
      <c r="AD174" s="1668"/>
      <c r="AE174" s="1668"/>
      <c r="AF174" s="1668"/>
      <c r="AG174" s="1668"/>
      <c r="AH174" s="1668"/>
      <c r="AI174" s="1668"/>
    </row>
    <row r="175" spans="1:35">
      <c r="A175" s="1669"/>
      <c r="B175" s="1669"/>
      <c r="C175" s="1669"/>
      <c r="D175" s="1669"/>
      <c r="E175" s="1669"/>
      <c r="F175" s="1669"/>
      <c r="G175" s="1669"/>
      <c r="H175" s="1669"/>
      <c r="I175" s="1669"/>
      <c r="J175" s="1669"/>
      <c r="K175" s="1669"/>
      <c r="L175" s="1669"/>
      <c r="M175" s="1669"/>
      <c r="N175" s="1669"/>
      <c r="O175" s="1669"/>
      <c r="P175" s="1669"/>
      <c r="Q175" s="1669"/>
      <c r="R175" s="1669"/>
      <c r="S175" s="1669"/>
      <c r="T175" s="1669"/>
      <c r="U175" s="1669"/>
      <c r="V175" s="1669"/>
      <c r="W175" s="1669"/>
      <c r="X175" s="1669"/>
      <c r="Y175" s="1669"/>
      <c r="Z175" s="1669"/>
      <c r="AA175" s="1669"/>
      <c r="AB175" s="1669"/>
      <c r="AC175" s="1669"/>
      <c r="AD175" s="1668"/>
      <c r="AE175" s="1668"/>
      <c r="AF175" s="1668"/>
      <c r="AG175" s="1668"/>
      <c r="AH175" s="1668"/>
      <c r="AI175" s="1668"/>
    </row>
    <row r="176" spans="1:35">
      <c r="A176" s="1669"/>
      <c r="B176" s="1669"/>
      <c r="C176" s="1669"/>
      <c r="D176" s="1669"/>
      <c r="E176" s="1669"/>
      <c r="F176" s="1669"/>
      <c r="G176" s="1669"/>
      <c r="H176" s="1669"/>
      <c r="I176" s="1669"/>
      <c r="J176" s="1669"/>
      <c r="K176" s="1669"/>
      <c r="L176" s="1669"/>
      <c r="M176" s="1669"/>
      <c r="N176" s="1669"/>
      <c r="O176" s="1669"/>
      <c r="P176" s="1669"/>
      <c r="Q176" s="1669"/>
      <c r="R176" s="1669"/>
      <c r="S176" s="1669"/>
      <c r="T176" s="1669"/>
      <c r="U176" s="1669"/>
      <c r="V176" s="1669"/>
      <c r="W176" s="1669"/>
      <c r="X176" s="1669"/>
      <c r="Y176" s="1669"/>
      <c r="Z176" s="1669"/>
      <c r="AA176" s="1669"/>
      <c r="AB176" s="1669"/>
      <c r="AC176" s="1669"/>
      <c r="AD176" s="1668"/>
      <c r="AE176" s="1668"/>
      <c r="AF176" s="1668"/>
      <c r="AG176" s="1668"/>
      <c r="AH176" s="1668"/>
      <c r="AI176" s="1668"/>
    </row>
    <row r="177" spans="1:35">
      <c r="A177" s="1669"/>
      <c r="B177" s="1669"/>
      <c r="C177" s="1669"/>
      <c r="D177" s="1669"/>
      <c r="E177" s="1669"/>
      <c r="F177" s="1669"/>
      <c r="G177" s="1669"/>
      <c r="H177" s="1669"/>
      <c r="I177" s="1669"/>
      <c r="J177" s="1669"/>
      <c r="K177" s="1669"/>
      <c r="L177" s="1669"/>
      <c r="M177" s="1669"/>
      <c r="N177" s="1669"/>
      <c r="O177" s="1669"/>
      <c r="P177" s="1669"/>
      <c r="Q177" s="1669"/>
      <c r="R177" s="1669"/>
      <c r="S177" s="1669"/>
      <c r="T177" s="1669"/>
      <c r="U177" s="1669"/>
      <c r="V177" s="1669"/>
      <c r="W177" s="1669"/>
      <c r="X177" s="1669"/>
      <c r="Y177" s="1669"/>
      <c r="Z177" s="1669"/>
      <c r="AA177" s="1669"/>
      <c r="AB177" s="1669"/>
      <c r="AC177" s="1669"/>
      <c r="AD177" s="1668"/>
      <c r="AE177" s="1668"/>
      <c r="AF177" s="1668"/>
      <c r="AG177" s="1668"/>
      <c r="AH177" s="1668"/>
      <c r="AI177" s="1668"/>
    </row>
    <row r="178" spans="1:35">
      <c r="A178" s="1669"/>
      <c r="B178" s="1669"/>
      <c r="C178" s="1669"/>
      <c r="D178" s="1669"/>
      <c r="E178" s="1669"/>
      <c r="F178" s="1669"/>
      <c r="G178" s="1669"/>
      <c r="H178" s="1669"/>
      <c r="I178" s="1669"/>
      <c r="J178" s="1669"/>
      <c r="K178" s="1669"/>
      <c r="L178" s="1669"/>
      <c r="M178" s="1669"/>
      <c r="N178" s="1669"/>
      <c r="O178" s="1669"/>
      <c r="P178" s="1669"/>
      <c r="Q178" s="1669"/>
      <c r="R178" s="1669"/>
      <c r="S178" s="1669"/>
      <c r="T178" s="1669"/>
      <c r="U178" s="1669"/>
      <c r="V178" s="1669"/>
      <c r="W178" s="1669"/>
      <c r="X178" s="1669"/>
      <c r="Y178" s="1669"/>
      <c r="Z178" s="1669"/>
      <c r="AA178" s="1669"/>
      <c r="AB178" s="1669"/>
      <c r="AC178" s="1669"/>
      <c r="AD178" s="1668"/>
      <c r="AE178" s="1668"/>
      <c r="AF178" s="1668"/>
      <c r="AG178" s="1668"/>
      <c r="AH178" s="1668"/>
      <c r="AI178" s="1668"/>
    </row>
    <row r="179" spans="1:35">
      <c r="A179" s="1669"/>
      <c r="B179" s="1669"/>
      <c r="C179" s="1669"/>
      <c r="D179" s="1669"/>
      <c r="E179" s="1669"/>
      <c r="F179" s="1669"/>
      <c r="G179" s="1669"/>
      <c r="H179" s="1669"/>
      <c r="I179" s="1669"/>
      <c r="J179" s="1669"/>
      <c r="K179" s="1669"/>
      <c r="L179" s="1669"/>
      <c r="M179" s="1669"/>
      <c r="N179" s="1669"/>
      <c r="O179" s="1669"/>
      <c r="P179" s="1669"/>
      <c r="Q179" s="1669"/>
      <c r="R179" s="1669"/>
      <c r="S179" s="1669"/>
      <c r="T179" s="1669"/>
      <c r="U179" s="1669"/>
      <c r="V179" s="1669"/>
      <c r="W179" s="1669"/>
      <c r="X179" s="1669"/>
      <c r="Y179" s="1669"/>
      <c r="Z179" s="1669"/>
      <c r="AA179" s="1669"/>
      <c r="AB179" s="1669"/>
      <c r="AC179" s="1669"/>
      <c r="AD179" s="1668"/>
      <c r="AE179" s="1668"/>
      <c r="AF179" s="1668"/>
      <c r="AG179" s="1668"/>
      <c r="AH179" s="1668"/>
      <c r="AI179" s="1668"/>
    </row>
    <row r="180" spans="1:35">
      <c r="A180" s="1669"/>
      <c r="B180" s="1669"/>
      <c r="C180" s="1669"/>
      <c r="D180" s="1669"/>
      <c r="E180" s="1669"/>
      <c r="F180" s="1669"/>
      <c r="G180" s="1669"/>
      <c r="H180" s="1669"/>
      <c r="I180" s="1669"/>
      <c r="J180" s="1669"/>
      <c r="K180" s="1669"/>
      <c r="L180" s="1669"/>
      <c r="M180" s="1669"/>
      <c r="N180" s="1669"/>
      <c r="O180" s="1669"/>
      <c r="P180" s="1669"/>
      <c r="Q180" s="1669"/>
      <c r="R180" s="1669"/>
      <c r="S180" s="1669"/>
      <c r="T180" s="1669"/>
      <c r="U180" s="1669"/>
      <c r="V180" s="1669"/>
      <c r="W180" s="1669"/>
      <c r="X180" s="1669"/>
      <c r="Y180" s="1669"/>
      <c r="Z180" s="1669"/>
      <c r="AA180" s="1669"/>
      <c r="AB180" s="1669"/>
      <c r="AC180" s="1669"/>
      <c r="AD180" s="1668"/>
      <c r="AE180" s="1668"/>
      <c r="AF180" s="1668"/>
      <c r="AG180" s="1668"/>
      <c r="AH180" s="1668"/>
      <c r="AI180" s="1668"/>
    </row>
    <row r="181" spans="1:35">
      <c r="A181" s="1669"/>
      <c r="B181" s="1669"/>
      <c r="C181" s="1669"/>
      <c r="D181" s="1669"/>
      <c r="E181" s="1669"/>
      <c r="F181" s="1669"/>
      <c r="G181" s="1669"/>
      <c r="H181" s="1669"/>
      <c r="I181" s="1669"/>
      <c r="J181" s="1669"/>
      <c r="K181" s="1669"/>
      <c r="L181" s="1669"/>
      <c r="M181" s="1669"/>
      <c r="N181" s="1669"/>
      <c r="O181" s="1669"/>
      <c r="P181" s="1669"/>
      <c r="Q181" s="1669"/>
      <c r="R181" s="1669"/>
      <c r="S181" s="1669"/>
      <c r="T181" s="1669"/>
      <c r="U181" s="1669"/>
      <c r="V181" s="1669"/>
      <c r="W181" s="1669"/>
      <c r="X181" s="1669"/>
      <c r="Y181" s="1669"/>
      <c r="Z181" s="1669"/>
      <c r="AA181" s="1669"/>
      <c r="AB181" s="1669"/>
      <c r="AC181" s="1669"/>
      <c r="AD181" s="1668"/>
      <c r="AE181" s="1668"/>
      <c r="AF181" s="1668"/>
      <c r="AG181" s="1668"/>
      <c r="AH181" s="1668"/>
      <c r="AI181" s="1668"/>
    </row>
    <row r="182" spans="1:35">
      <c r="A182" s="1669"/>
      <c r="B182" s="1669"/>
      <c r="C182" s="1669"/>
      <c r="D182" s="1669"/>
      <c r="E182" s="1669"/>
      <c r="F182" s="1669"/>
      <c r="G182" s="1669"/>
      <c r="H182" s="1669"/>
      <c r="I182" s="1669"/>
      <c r="J182" s="1669"/>
      <c r="K182" s="1669"/>
      <c r="L182" s="1669"/>
      <c r="M182" s="1669"/>
      <c r="N182" s="1669"/>
      <c r="O182" s="1669"/>
      <c r="P182" s="1669"/>
      <c r="Q182" s="1669"/>
      <c r="R182" s="1669"/>
      <c r="S182" s="1669"/>
      <c r="T182" s="1669"/>
      <c r="U182" s="1669"/>
      <c r="V182" s="1669"/>
      <c r="W182" s="1669"/>
      <c r="X182" s="1669"/>
      <c r="Y182" s="1669"/>
      <c r="Z182" s="1669"/>
      <c r="AA182" s="1669"/>
      <c r="AB182" s="1669"/>
      <c r="AC182" s="1669"/>
      <c r="AD182" s="1668"/>
      <c r="AE182" s="1668"/>
      <c r="AF182" s="1668"/>
      <c r="AG182" s="1668"/>
      <c r="AH182" s="1668"/>
      <c r="AI182" s="1668"/>
    </row>
    <row r="183" spans="1:35">
      <c r="A183" s="1669"/>
      <c r="B183" s="1669"/>
      <c r="C183" s="1669"/>
      <c r="D183" s="1669"/>
      <c r="E183" s="1669"/>
      <c r="F183" s="1669"/>
      <c r="G183" s="1669"/>
      <c r="H183" s="1669"/>
      <c r="I183" s="1669"/>
      <c r="J183" s="1669"/>
      <c r="K183" s="1669"/>
      <c r="L183" s="1669"/>
      <c r="M183" s="1669"/>
      <c r="N183" s="1669"/>
      <c r="O183" s="1669"/>
      <c r="P183" s="1669"/>
      <c r="Q183" s="1669"/>
      <c r="R183" s="1669"/>
      <c r="S183" s="1669"/>
      <c r="T183" s="1669"/>
      <c r="U183" s="1669"/>
      <c r="V183" s="1669"/>
      <c r="W183" s="1669"/>
      <c r="X183" s="1669"/>
      <c r="Y183" s="1669"/>
      <c r="Z183" s="1669"/>
      <c r="AA183" s="1669"/>
      <c r="AB183" s="1669"/>
      <c r="AC183" s="1669"/>
      <c r="AD183" s="1668"/>
      <c r="AE183" s="1668"/>
      <c r="AF183" s="1668"/>
      <c r="AG183" s="1668"/>
      <c r="AH183" s="1668"/>
      <c r="AI183" s="1668"/>
    </row>
    <row r="184" spans="1:35">
      <c r="A184" s="1669"/>
      <c r="B184" s="1669"/>
      <c r="C184" s="1669"/>
      <c r="D184" s="1669"/>
      <c r="E184" s="1669"/>
      <c r="F184" s="1669"/>
      <c r="G184" s="1669"/>
      <c r="H184" s="1669"/>
      <c r="I184" s="1669"/>
      <c r="J184" s="1669"/>
      <c r="K184" s="1669"/>
      <c r="L184" s="1669"/>
      <c r="M184" s="1669"/>
      <c r="N184" s="1669"/>
      <c r="O184" s="1669"/>
      <c r="P184" s="1669"/>
      <c r="Q184" s="1669"/>
      <c r="R184" s="1669"/>
      <c r="S184" s="1669"/>
      <c r="T184" s="1669"/>
      <c r="U184" s="1669"/>
      <c r="V184" s="1669"/>
      <c r="W184" s="1669"/>
      <c r="X184" s="1669"/>
      <c r="Y184" s="1669"/>
      <c r="Z184" s="1669"/>
      <c r="AA184" s="1669"/>
      <c r="AB184" s="1669"/>
      <c r="AC184" s="1669"/>
      <c r="AD184" s="1668"/>
      <c r="AE184" s="1668"/>
      <c r="AF184" s="1668"/>
      <c r="AG184" s="1668"/>
      <c r="AH184" s="1668"/>
      <c r="AI184" s="1668"/>
    </row>
    <row r="185" spans="1:35">
      <c r="A185" s="1669"/>
      <c r="B185" s="1669"/>
      <c r="C185" s="1669"/>
      <c r="D185" s="1669"/>
      <c r="E185" s="1669"/>
      <c r="F185" s="1669"/>
      <c r="G185" s="1669"/>
      <c r="H185" s="1669"/>
      <c r="I185" s="1669"/>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8"/>
      <c r="AE185" s="1668"/>
      <c r="AF185" s="1668"/>
      <c r="AG185" s="1668"/>
      <c r="AH185" s="1668"/>
      <c r="AI185" s="1668"/>
    </row>
    <row r="186" spans="1:35">
      <c r="A186" s="1669"/>
      <c r="B186" s="1669"/>
      <c r="C186" s="1669"/>
      <c r="D186" s="1669"/>
      <c r="E186" s="1669"/>
      <c r="F186" s="1669"/>
      <c r="G186" s="1669"/>
      <c r="H186" s="1669"/>
      <c r="I186" s="1669"/>
      <c r="J186" s="1669"/>
      <c r="K186" s="1669"/>
      <c r="L186" s="1669"/>
      <c r="M186" s="1669"/>
      <c r="N186" s="1669"/>
      <c r="O186" s="1669"/>
      <c r="P186" s="1669"/>
      <c r="Q186" s="1669"/>
      <c r="R186" s="1669"/>
      <c r="S186" s="1669"/>
      <c r="T186" s="1669"/>
      <c r="U186" s="1669"/>
      <c r="V186" s="1669"/>
      <c r="W186" s="1669"/>
      <c r="X186" s="1669"/>
      <c r="Y186" s="1669"/>
      <c r="Z186" s="1669"/>
      <c r="AA186" s="1669"/>
      <c r="AB186" s="1669"/>
      <c r="AC186" s="1669"/>
      <c r="AD186" s="1668"/>
      <c r="AE186" s="1668"/>
      <c r="AF186" s="1668"/>
      <c r="AG186" s="1668"/>
      <c r="AH186" s="1668"/>
      <c r="AI186" s="1668"/>
    </row>
    <row r="187" spans="1:35">
      <c r="A187" s="1669"/>
      <c r="B187" s="1669"/>
      <c r="C187" s="1669"/>
      <c r="D187" s="1669"/>
      <c r="E187" s="1669"/>
      <c r="F187" s="1669"/>
      <c r="G187" s="1669"/>
      <c r="H187" s="1669"/>
      <c r="I187" s="1669"/>
      <c r="J187" s="1669"/>
      <c r="K187" s="1669"/>
      <c r="L187" s="1669"/>
      <c r="M187" s="1669"/>
      <c r="N187" s="1669"/>
      <c r="O187" s="1669"/>
      <c r="P187" s="1669"/>
      <c r="Q187" s="1669"/>
      <c r="R187" s="1669"/>
      <c r="S187" s="1669"/>
      <c r="T187" s="1669"/>
      <c r="U187" s="1669"/>
      <c r="V187" s="1669"/>
      <c r="W187" s="1669"/>
      <c r="X187" s="1669"/>
      <c r="Y187" s="1669"/>
      <c r="Z187" s="1669"/>
      <c r="AA187" s="1669"/>
      <c r="AB187" s="1669"/>
      <c r="AC187" s="1669"/>
      <c r="AD187" s="1668"/>
      <c r="AE187" s="1668"/>
      <c r="AF187" s="1668"/>
      <c r="AG187" s="1668"/>
      <c r="AH187" s="1668"/>
      <c r="AI187" s="1668"/>
    </row>
    <row r="188" spans="1:35">
      <c r="A188" s="1669"/>
      <c r="B188" s="1669"/>
      <c r="C188" s="1669"/>
      <c r="D188" s="1669"/>
      <c r="E188" s="1669"/>
      <c r="F188" s="1669"/>
      <c r="G188" s="1669"/>
      <c r="H188" s="1669"/>
      <c r="I188" s="1669"/>
      <c r="J188" s="1669"/>
      <c r="K188" s="1669"/>
      <c r="L188" s="1669"/>
      <c r="M188" s="1669"/>
      <c r="N188" s="1669"/>
      <c r="O188" s="1669"/>
      <c r="P188" s="1669"/>
      <c r="Q188" s="1669"/>
      <c r="R188" s="1669"/>
      <c r="S188" s="1669"/>
      <c r="T188" s="1669"/>
      <c r="U188" s="1669"/>
      <c r="V188" s="1669"/>
      <c r="W188" s="1669"/>
      <c r="X188" s="1669"/>
      <c r="Y188" s="1669"/>
      <c r="Z188" s="1669"/>
      <c r="AA188" s="1669"/>
      <c r="AB188" s="1669"/>
      <c r="AC188" s="1669"/>
      <c r="AD188" s="1668"/>
      <c r="AE188" s="1668"/>
      <c r="AF188" s="1668"/>
      <c r="AG188" s="1668"/>
      <c r="AH188" s="1668"/>
      <c r="AI188" s="1668"/>
    </row>
    <row r="189" spans="1:35">
      <c r="A189" s="1669"/>
      <c r="B189" s="1669"/>
      <c r="C189" s="1669"/>
      <c r="D189" s="1669"/>
      <c r="E189" s="1669"/>
      <c r="F189" s="1669"/>
      <c r="G189" s="1669"/>
      <c r="H189" s="1669"/>
      <c r="I189" s="1669"/>
      <c r="J189" s="1669"/>
      <c r="K189" s="1669"/>
      <c r="L189" s="1669"/>
      <c r="M189" s="1669"/>
      <c r="N189" s="1669"/>
      <c r="O189" s="1669"/>
      <c r="P189" s="1669"/>
      <c r="Q189" s="1669"/>
      <c r="R189" s="1669"/>
      <c r="S189" s="1669"/>
      <c r="T189" s="1669"/>
      <c r="U189" s="1669"/>
      <c r="V189" s="1669"/>
      <c r="W189" s="1669"/>
      <c r="X189" s="1669"/>
      <c r="Y189" s="1669"/>
      <c r="Z189" s="1669"/>
      <c r="AA189" s="1669"/>
      <c r="AB189" s="1669"/>
      <c r="AC189" s="1669"/>
      <c r="AD189" s="1668"/>
      <c r="AE189" s="1668"/>
      <c r="AF189" s="1668"/>
      <c r="AG189" s="1668"/>
      <c r="AH189" s="1668"/>
      <c r="AI189" s="1668"/>
    </row>
    <row r="190" spans="1:35">
      <c r="A190" s="1669"/>
      <c r="B190" s="1669"/>
      <c r="C190" s="1669"/>
      <c r="D190" s="1669"/>
      <c r="E190" s="1669"/>
      <c r="F190" s="1669"/>
      <c r="G190" s="1669"/>
      <c r="H190" s="1669"/>
      <c r="I190" s="1669"/>
      <c r="J190" s="1669"/>
      <c r="K190" s="1669"/>
      <c r="L190" s="1669"/>
      <c r="M190" s="1669"/>
      <c r="N190" s="1669"/>
      <c r="O190" s="1669"/>
      <c r="P190" s="1669"/>
      <c r="Q190" s="1669"/>
      <c r="R190" s="1669"/>
      <c r="S190" s="1669"/>
      <c r="T190" s="1669"/>
      <c r="U190" s="1669"/>
      <c r="V190" s="1669"/>
      <c r="W190" s="1669"/>
      <c r="X190" s="1669"/>
      <c r="Y190" s="1669"/>
      <c r="Z190" s="1669"/>
      <c r="AA190" s="1669"/>
      <c r="AB190" s="1669"/>
      <c r="AC190" s="1669"/>
      <c r="AD190" s="1668"/>
      <c r="AE190" s="1668"/>
      <c r="AF190" s="1668"/>
      <c r="AG190" s="1668"/>
      <c r="AH190" s="1668"/>
      <c r="AI190" s="1668"/>
    </row>
    <row r="191" spans="1:35">
      <c r="A191" s="1669"/>
      <c r="B191" s="1669"/>
      <c r="C191" s="1669"/>
      <c r="D191" s="1669"/>
      <c r="E191" s="1669"/>
      <c r="F191" s="1669"/>
      <c r="G191" s="1669"/>
      <c r="H191" s="1669"/>
      <c r="I191" s="1669"/>
      <c r="J191" s="1669"/>
      <c r="K191" s="1669"/>
      <c r="L191" s="1669"/>
      <c r="M191" s="1669"/>
      <c r="N191" s="1669"/>
      <c r="O191" s="1669"/>
      <c r="P191" s="1669"/>
      <c r="Q191" s="1669"/>
      <c r="R191" s="1669"/>
      <c r="S191" s="1669"/>
      <c r="T191" s="1669"/>
      <c r="U191" s="1669"/>
      <c r="V191" s="1669"/>
      <c r="W191" s="1669"/>
      <c r="X191" s="1669"/>
      <c r="Y191" s="1669"/>
      <c r="Z191" s="1669"/>
      <c r="AA191" s="1669"/>
      <c r="AB191" s="1669"/>
      <c r="AC191" s="1669"/>
      <c r="AD191" s="1668"/>
      <c r="AE191" s="1668"/>
      <c r="AF191" s="1668"/>
      <c r="AG191" s="1668"/>
      <c r="AH191" s="1668"/>
      <c r="AI191" s="1668"/>
    </row>
    <row r="192" spans="1:35">
      <c r="A192" s="1669"/>
      <c r="B192" s="1669"/>
      <c r="C192" s="1669"/>
      <c r="D192" s="1669"/>
      <c r="E192" s="1669"/>
      <c r="F192" s="1669"/>
      <c r="G192" s="1669"/>
      <c r="H192" s="1669"/>
      <c r="I192" s="1669"/>
      <c r="J192" s="1669"/>
      <c r="K192" s="1669"/>
      <c r="L192" s="1669"/>
      <c r="M192" s="1669"/>
      <c r="N192" s="1669"/>
      <c r="O192" s="1669"/>
      <c r="P192" s="1669"/>
      <c r="Q192" s="1669"/>
      <c r="R192" s="1669"/>
      <c r="S192" s="1669"/>
      <c r="T192" s="1669"/>
      <c r="U192" s="1669"/>
      <c r="V192" s="1669"/>
      <c r="W192" s="1669"/>
      <c r="X192" s="1669"/>
      <c r="Y192" s="1669"/>
      <c r="Z192" s="1669"/>
      <c r="AA192" s="1669"/>
      <c r="AB192" s="1669"/>
      <c r="AC192" s="1669"/>
      <c r="AD192" s="1668"/>
      <c r="AE192" s="1668"/>
      <c r="AF192" s="1668"/>
      <c r="AG192" s="1668"/>
      <c r="AH192" s="1668"/>
      <c r="AI192" s="1668"/>
    </row>
    <row r="193" spans="1:35">
      <c r="A193" s="1669"/>
      <c r="B193" s="1669"/>
      <c r="C193" s="1669"/>
      <c r="D193" s="1669"/>
      <c r="E193" s="1669"/>
      <c r="F193" s="1669"/>
      <c r="G193" s="1669"/>
      <c r="H193" s="1669"/>
      <c r="I193" s="1669"/>
      <c r="J193" s="1669"/>
      <c r="K193" s="1669"/>
      <c r="L193" s="1669"/>
      <c r="M193" s="1669"/>
      <c r="N193" s="1669"/>
      <c r="O193" s="1669"/>
      <c r="P193" s="1669"/>
      <c r="Q193" s="1669"/>
      <c r="R193" s="1669"/>
      <c r="S193" s="1669"/>
      <c r="T193" s="1669"/>
      <c r="U193" s="1669"/>
      <c r="V193" s="1669"/>
      <c r="W193" s="1669"/>
      <c r="X193" s="1669"/>
      <c r="Y193" s="1669"/>
      <c r="Z193" s="1669"/>
      <c r="AA193" s="1669"/>
      <c r="AB193" s="1669"/>
      <c r="AC193" s="1669"/>
      <c r="AD193" s="1668"/>
      <c r="AE193" s="1668"/>
      <c r="AF193" s="1668"/>
      <c r="AG193" s="1668"/>
      <c r="AH193" s="1668"/>
      <c r="AI193" s="1668"/>
    </row>
    <row r="194" spans="1:35">
      <c r="A194" s="1669"/>
      <c r="B194" s="1669"/>
      <c r="C194" s="1669"/>
      <c r="D194" s="1669"/>
      <c r="E194" s="1669"/>
      <c r="F194" s="1669"/>
      <c r="G194" s="1669"/>
      <c r="H194" s="1669"/>
      <c r="I194" s="1669"/>
      <c r="J194" s="1669"/>
      <c r="K194" s="1669"/>
      <c r="L194" s="1669"/>
      <c r="M194" s="1669"/>
      <c r="N194" s="1669"/>
      <c r="O194" s="1669"/>
      <c r="P194" s="1669"/>
      <c r="Q194" s="1669"/>
      <c r="R194" s="1669"/>
      <c r="S194" s="1669"/>
      <c r="T194" s="1669"/>
      <c r="U194" s="1669"/>
      <c r="V194" s="1669"/>
      <c r="W194" s="1669"/>
      <c r="X194" s="1669"/>
      <c r="Y194" s="1669"/>
      <c r="Z194" s="1669"/>
      <c r="AA194" s="1669"/>
      <c r="AB194" s="1669"/>
      <c r="AC194" s="1669"/>
      <c r="AD194" s="1668"/>
      <c r="AE194" s="1668"/>
      <c r="AF194" s="1668"/>
      <c r="AG194" s="1668"/>
      <c r="AH194" s="1668"/>
      <c r="AI194" s="1668"/>
    </row>
    <row r="195" spans="1:35">
      <c r="A195" s="1669"/>
      <c r="B195" s="1669"/>
      <c r="C195" s="1669"/>
      <c r="D195" s="1669"/>
      <c r="E195" s="1669"/>
      <c r="F195" s="1669"/>
      <c r="G195" s="1669"/>
      <c r="H195" s="1669"/>
      <c r="I195" s="1669"/>
      <c r="J195" s="1669"/>
      <c r="K195" s="1669"/>
      <c r="L195" s="1669"/>
      <c r="M195" s="1669"/>
      <c r="N195" s="1669"/>
      <c r="O195" s="1669"/>
      <c r="P195" s="1669"/>
      <c r="Q195" s="1669"/>
      <c r="R195" s="1669"/>
      <c r="S195" s="1669"/>
      <c r="T195" s="1669"/>
      <c r="U195" s="1669"/>
      <c r="V195" s="1669"/>
      <c r="W195" s="1669"/>
      <c r="X195" s="1669"/>
      <c r="Y195" s="1669"/>
      <c r="Z195" s="1669"/>
      <c r="AA195" s="1669"/>
      <c r="AB195" s="1669"/>
      <c r="AC195" s="1669"/>
      <c r="AD195" s="1668"/>
      <c r="AE195" s="1668"/>
      <c r="AF195" s="1668"/>
      <c r="AG195" s="1668"/>
      <c r="AH195" s="1668"/>
      <c r="AI195" s="1668"/>
    </row>
    <row r="196" spans="1:35">
      <c r="A196" s="1669"/>
      <c r="B196" s="1669"/>
      <c r="C196" s="1669"/>
      <c r="D196" s="1669"/>
      <c r="E196" s="1669"/>
      <c r="F196" s="1669"/>
      <c r="G196" s="1669"/>
      <c r="H196" s="1669"/>
      <c r="I196" s="1669"/>
      <c r="J196" s="1669"/>
      <c r="K196" s="1669"/>
      <c r="L196" s="1669"/>
      <c r="M196" s="1669"/>
      <c r="N196" s="1669"/>
      <c r="O196" s="1669"/>
      <c r="P196" s="1669"/>
      <c r="Q196" s="1669"/>
      <c r="R196" s="1669"/>
      <c r="S196" s="1669"/>
      <c r="T196" s="1669"/>
      <c r="U196" s="1669"/>
      <c r="V196" s="1669"/>
      <c r="W196" s="1669"/>
      <c r="X196" s="1669"/>
      <c r="Y196" s="1669"/>
      <c r="Z196" s="1669"/>
      <c r="AA196" s="1669"/>
      <c r="AB196" s="1669"/>
      <c r="AC196" s="1669"/>
      <c r="AD196" s="1668"/>
      <c r="AE196" s="1668"/>
      <c r="AF196" s="1668"/>
      <c r="AG196" s="1668"/>
      <c r="AH196" s="1668"/>
      <c r="AI196" s="1668"/>
    </row>
    <row r="197" spans="1:35">
      <c r="A197" s="1669"/>
      <c r="B197" s="1669"/>
      <c r="C197" s="1669"/>
      <c r="D197" s="1669"/>
      <c r="E197" s="1669"/>
      <c r="F197" s="1669"/>
      <c r="G197" s="1669"/>
      <c r="H197" s="1669"/>
      <c r="I197" s="1669"/>
      <c r="J197" s="1669"/>
      <c r="K197" s="1669"/>
      <c r="L197" s="1669"/>
      <c r="M197" s="1669"/>
      <c r="N197" s="1669"/>
      <c r="O197" s="1669"/>
      <c r="P197" s="1669"/>
      <c r="Q197" s="1669"/>
      <c r="R197" s="1669"/>
      <c r="S197" s="1669"/>
      <c r="T197" s="1669"/>
      <c r="U197" s="1669"/>
      <c r="V197" s="1669"/>
      <c r="W197" s="1669"/>
      <c r="X197" s="1669"/>
      <c r="Y197" s="1669"/>
      <c r="Z197" s="1669"/>
      <c r="AA197" s="1669"/>
      <c r="AB197" s="1669"/>
      <c r="AC197" s="1669"/>
      <c r="AD197" s="1668"/>
      <c r="AE197" s="1668"/>
      <c r="AF197" s="1668"/>
      <c r="AG197" s="1668"/>
      <c r="AH197" s="1668"/>
      <c r="AI197" s="1668"/>
    </row>
    <row r="198" spans="1:35">
      <c r="A198" s="1669"/>
      <c r="B198" s="1669"/>
      <c r="C198" s="1669"/>
      <c r="D198" s="1669"/>
      <c r="E198" s="1669"/>
      <c r="F198" s="1669"/>
      <c r="G198" s="1669"/>
      <c r="H198" s="1669"/>
      <c r="I198" s="1669"/>
      <c r="J198" s="1669"/>
      <c r="K198" s="1669"/>
      <c r="L198" s="1669"/>
      <c r="M198" s="1669"/>
      <c r="N198" s="1669"/>
      <c r="O198" s="1669"/>
      <c r="P198" s="1669"/>
      <c r="Q198" s="1669"/>
      <c r="R198" s="1669"/>
      <c r="S198" s="1669"/>
      <c r="T198" s="1669"/>
      <c r="U198" s="1669"/>
      <c r="V198" s="1669"/>
      <c r="W198" s="1669"/>
      <c r="X198" s="1669"/>
      <c r="Y198" s="1669"/>
      <c r="Z198" s="1669"/>
      <c r="AA198" s="1669"/>
      <c r="AB198" s="1669"/>
      <c r="AC198" s="1669"/>
      <c r="AD198" s="1668"/>
      <c r="AE198" s="1668"/>
      <c r="AF198" s="1668"/>
      <c r="AG198" s="1668"/>
      <c r="AH198" s="1668"/>
      <c r="AI198" s="1668"/>
    </row>
    <row r="199" spans="1:35">
      <c r="A199" s="1669"/>
      <c r="B199" s="1669"/>
      <c r="C199" s="1669"/>
      <c r="D199" s="1669"/>
      <c r="E199" s="1669"/>
      <c r="F199" s="1669"/>
      <c r="G199" s="1669"/>
      <c r="H199" s="1669"/>
      <c r="I199" s="1669"/>
      <c r="J199" s="1669"/>
      <c r="K199" s="1669"/>
      <c r="L199" s="1669"/>
      <c r="M199" s="1669"/>
      <c r="N199" s="1669"/>
      <c r="O199" s="1669"/>
      <c r="P199" s="1669"/>
      <c r="Q199" s="1669"/>
      <c r="R199" s="1669"/>
      <c r="S199" s="1669"/>
      <c r="T199" s="1669"/>
      <c r="U199" s="1669"/>
      <c r="V199" s="1669"/>
      <c r="W199" s="1669"/>
      <c r="X199" s="1669"/>
      <c r="Y199" s="1669"/>
      <c r="Z199" s="1669"/>
      <c r="AA199" s="1669"/>
      <c r="AB199" s="1669"/>
      <c r="AC199" s="1669"/>
      <c r="AD199" s="1668"/>
      <c r="AE199" s="1668"/>
      <c r="AF199" s="1668"/>
      <c r="AG199" s="1668"/>
      <c r="AH199" s="1668"/>
      <c r="AI199" s="1668"/>
    </row>
    <row r="200" spans="1:35">
      <c r="A200" s="1669"/>
      <c r="B200" s="1669"/>
      <c r="C200" s="1669"/>
      <c r="D200" s="1669"/>
      <c r="E200" s="1669"/>
      <c r="F200" s="1669"/>
      <c r="G200" s="1669"/>
      <c r="H200" s="1669"/>
      <c r="I200" s="1669"/>
      <c r="J200" s="1669"/>
      <c r="K200" s="1669"/>
      <c r="L200" s="1669"/>
      <c r="M200" s="1669"/>
      <c r="N200" s="1669"/>
      <c r="O200" s="1669"/>
      <c r="P200" s="1669"/>
      <c r="Q200" s="1669"/>
      <c r="R200" s="1669"/>
      <c r="S200" s="1669"/>
      <c r="T200" s="1669"/>
      <c r="U200" s="1669"/>
      <c r="V200" s="1669"/>
      <c r="W200" s="1669"/>
      <c r="X200" s="1669"/>
      <c r="Y200" s="1669"/>
      <c r="Z200" s="1669"/>
      <c r="AA200" s="1669"/>
      <c r="AB200" s="1669"/>
      <c r="AC200" s="1669"/>
      <c r="AD200" s="1668"/>
      <c r="AE200" s="1668"/>
      <c r="AF200" s="1668"/>
      <c r="AG200" s="1668"/>
      <c r="AH200" s="1668"/>
      <c r="AI200" s="1668"/>
    </row>
    <row r="201" spans="1:35">
      <c r="A201" s="1669"/>
      <c r="B201" s="1669"/>
      <c r="C201" s="1669"/>
      <c r="D201" s="1669"/>
      <c r="E201" s="1669"/>
      <c r="F201" s="1669"/>
      <c r="G201" s="1669"/>
      <c r="H201" s="1669"/>
      <c r="I201" s="1669"/>
      <c r="J201" s="1669"/>
      <c r="K201" s="1669"/>
      <c r="L201" s="1669"/>
      <c r="M201" s="1669"/>
      <c r="N201" s="1669"/>
      <c r="O201" s="1669"/>
      <c r="P201" s="1669"/>
      <c r="Q201" s="1669"/>
      <c r="R201" s="1669"/>
      <c r="S201" s="1669"/>
      <c r="T201" s="1669"/>
      <c r="U201" s="1669"/>
      <c r="V201" s="1669"/>
      <c r="W201" s="1669"/>
      <c r="X201" s="1669"/>
      <c r="Y201" s="1669"/>
      <c r="Z201" s="1669"/>
      <c r="AA201" s="1669"/>
      <c r="AB201" s="1669"/>
      <c r="AC201" s="1669"/>
      <c r="AD201" s="1668"/>
      <c r="AE201" s="1668"/>
      <c r="AF201" s="1668"/>
      <c r="AG201" s="1668"/>
      <c r="AH201" s="1668"/>
      <c r="AI201" s="1668"/>
    </row>
    <row r="202" spans="1:35">
      <c r="A202" s="1669"/>
      <c r="B202" s="1669"/>
      <c r="C202" s="1669"/>
      <c r="D202" s="1669"/>
      <c r="E202" s="1669"/>
      <c r="F202" s="1669"/>
      <c r="G202" s="1669"/>
      <c r="H202" s="1669"/>
      <c r="I202" s="1669"/>
      <c r="J202" s="1669"/>
      <c r="K202" s="1669"/>
      <c r="L202" s="1669"/>
      <c r="M202" s="1669"/>
      <c r="N202" s="1669"/>
      <c r="O202" s="1669"/>
      <c r="P202" s="1669"/>
      <c r="Q202" s="1669"/>
      <c r="R202" s="1669"/>
      <c r="S202" s="1669"/>
      <c r="T202" s="1669"/>
      <c r="U202" s="1669"/>
      <c r="V202" s="1669"/>
      <c r="W202" s="1669"/>
      <c r="X202" s="1669"/>
      <c r="Y202" s="1669"/>
      <c r="Z202" s="1669"/>
      <c r="AA202" s="1669"/>
      <c r="AB202" s="1669"/>
      <c r="AC202" s="1669"/>
      <c r="AD202" s="1668"/>
      <c r="AE202" s="1668"/>
      <c r="AF202" s="1668"/>
      <c r="AG202" s="1668"/>
      <c r="AH202" s="1668"/>
      <c r="AI202" s="1668"/>
    </row>
    <row r="203" spans="1:35">
      <c r="A203" s="1669"/>
      <c r="B203" s="1669"/>
      <c r="C203" s="1669"/>
      <c r="D203" s="1669"/>
      <c r="E203" s="1669"/>
      <c r="F203" s="1669"/>
      <c r="G203" s="1669"/>
      <c r="H203" s="1669"/>
      <c r="I203" s="1669"/>
      <c r="J203" s="1669"/>
      <c r="K203" s="1669"/>
      <c r="L203" s="1669"/>
      <c r="M203" s="1669"/>
      <c r="N203" s="1669"/>
      <c r="O203" s="1669"/>
      <c r="P203" s="1669"/>
      <c r="Q203" s="1669"/>
      <c r="R203" s="1669"/>
      <c r="S203" s="1669"/>
      <c r="T203" s="1669"/>
      <c r="U203" s="1669"/>
      <c r="V203" s="1669"/>
      <c r="W203" s="1669"/>
      <c r="X203" s="1669"/>
      <c r="Y203" s="1669"/>
      <c r="Z203" s="1669"/>
      <c r="AA203" s="1669"/>
      <c r="AB203" s="1669"/>
      <c r="AC203" s="1669"/>
      <c r="AD203" s="1668"/>
      <c r="AE203" s="1668"/>
      <c r="AF203" s="1668"/>
      <c r="AG203" s="1668"/>
      <c r="AH203" s="1668"/>
      <c r="AI203" s="1668"/>
    </row>
    <row r="204" spans="1:35">
      <c r="A204" s="1669"/>
      <c r="B204" s="1669"/>
      <c r="C204" s="1669"/>
      <c r="D204" s="1669"/>
      <c r="E204" s="1669"/>
      <c r="F204" s="1669"/>
      <c r="G204" s="1669"/>
      <c r="H204" s="1669"/>
      <c r="I204" s="1669"/>
      <c r="J204" s="1669"/>
      <c r="K204" s="1669"/>
      <c r="L204" s="1669"/>
      <c r="M204" s="1669"/>
      <c r="N204" s="1669"/>
      <c r="O204" s="1669"/>
      <c r="P204" s="1669"/>
      <c r="Q204" s="1669"/>
      <c r="R204" s="1669"/>
      <c r="S204" s="1669"/>
      <c r="T204" s="1669"/>
      <c r="U204" s="1669"/>
      <c r="V204" s="1669"/>
      <c r="W204" s="1669"/>
      <c r="X204" s="1669"/>
      <c r="Y204" s="1669"/>
      <c r="Z204" s="1669"/>
      <c r="AA204" s="1669"/>
      <c r="AB204" s="1669"/>
      <c r="AC204" s="1669"/>
      <c r="AD204" s="1668"/>
      <c r="AE204" s="1668"/>
      <c r="AF204" s="1668"/>
      <c r="AG204" s="1668"/>
      <c r="AH204" s="1668"/>
      <c r="AI204" s="1668"/>
    </row>
    <row r="205" spans="1:35">
      <c r="A205" s="1669"/>
      <c r="B205" s="1669"/>
      <c r="C205" s="1669"/>
      <c r="D205" s="1669"/>
      <c r="E205" s="1669"/>
      <c r="F205" s="1669"/>
      <c r="G205" s="1669"/>
      <c r="H205" s="1669"/>
      <c r="I205" s="1669"/>
      <c r="J205" s="1669"/>
      <c r="K205" s="1669"/>
      <c r="L205" s="1669"/>
      <c r="M205" s="1669"/>
      <c r="N205" s="1669"/>
      <c r="O205" s="1669"/>
      <c r="P205" s="1669"/>
      <c r="Q205" s="1669"/>
      <c r="R205" s="1669"/>
      <c r="S205" s="1669"/>
      <c r="T205" s="1669"/>
      <c r="U205" s="1669"/>
      <c r="V205" s="1669"/>
      <c r="W205" s="1669"/>
      <c r="X205" s="1669"/>
      <c r="Y205" s="1669"/>
      <c r="Z205" s="1669"/>
      <c r="AA205" s="1669"/>
      <c r="AB205" s="1669"/>
      <c r="AC205" s="1669"/>
      <c r="AD205" s="1668"/>
      <c r="AE205" s="1668"/>
      <c r="AF205" s="1668"/>
      <c r="AG205" s="1668"/>
      <c r="AH205" s="1668"/>
      <c r="AI205" s="1668"/>
    </row>
    <row r="206" spans="1:35">
      <c r="A206" s="1669"/>
      <c r="B206" s="1669"/>
      <c r="C206" s="1669"/>
      <c r="D206" s="1669"/>
      <c r="E206" s="1669"/>
      <c r="F206" s="1669"/>
      <c r="G206" s="1669"/>
      <c r="H206" s="1669"/>
      <c r="I206" s="1669"/>
      <c r="J206" s="1669"/>
      <c r="K206" s="1669"/>
      <c r="L206" s="1669"/>
      <c r="M206" s="1669"/>
      <c r="N206" s="1669"/>
      <c r="O206" s="1669"/>
      <c r="P206" s="1669"/>
      <c r="Q206" s="1669"/>
      <c r="R206" s="1669"/>
      <c r="S206" s="1669"/>
      <c r="T206" s="1669"/>
      <c r="U206" s="1669"/>
      <c r="V206" s="1669"/>
      <c r="W206" s="1669"/>
      <c r="X206" s="1669"/>
      <c r="Y206" s="1669"/>
      <c r="Z206" s="1669"/>
      <c r="AA206" s="1669"/>
      <c r="AB206" s="1669"/>
      <c r="AC206" s="1669"/>
      <c r="AD206" s="1668"/>
      <c r="AE206" s="1668"/>
      <c r="AF206" s="1668"/>
      <c r="AG206" s="1668"/>
      <c r="AH206" s="1668"/>
      <c r="AI206" s="1668"/>
    </row>
    <row r="207" spans="1:35">
      <c r="A207" s="1669"/>
      <c r="B207" s="1669"/>
      <c r="C207" s="1669"/>
      <c r="D207" s="1669"/>
      <c r="E207" s="1669"/>
      <c r="F207" s="1669"/>
      <c r="G207" s="1669"/>
      <c r="H207" s="1669"/>
      <c r="I207" s="1669"/>
      <c r="J207" s="1669"/>
      <c r="K207" s="1669"/>
      <c r="L207" s="1669"/>
      <c r="M207" s="1669"/>
      <c r="N207" s="1669"/>
      <c r="O207" s="1669"/>
      <c r="P207" s="1669"/>
      <c r="Q207" s="1669"/>
      <c r="R207" s="1669"/>
      <c r="S207" s="1669"/>
      <c r="T207" s="1669"/>
      <c r="U207" s="1669"/>
      <c r="V207" s="1669"/>
      <c r="W207" s="1669"/>
      <c r="X207" s="1669"/>
      <c r="Y207" s="1669"/>
      <c r="Z207" s="1669"/>
      <c r="AA207" s="1669"/>
      <c r="AB207" s="1669"/>
      <c r="AC207" s="1669"/>
      <c r="AD207" s="1668"/>
      <c r="AE207" s="1668"/>
      <c r="AF207" s="1668"/>
      <c r="AG207" s="1668"/>
      <c r="AH207" s="1668"/>
      <c r="AI207" s="1668"/>
    </row>
    <row r="208" spans="1:35">
      <c r="A208" s="1669"/>
      <c r="B208" s="1669"/>
      <c r="C208" s="1669"/>
      <c r="D208" s="1669"/>
      <c r="E208" s="1669"/>
      <c r="F208" s="1669"/>
      <c r="G208" s="1669"/>
      <c r="H208" s="1669"/>
      <c r="I208" s="1669"/>
      <c r="J208" s="1669"/>
      <c r="K208" s="1669"/>
      <c r="L208" s="1669"/>
      <c r="M208" s="1669"/>
      <c r="N208" s="1669"/>
      <c r="O208" s="1669"/>
      <c r="P208" s="1669"/>
      <c r="Q208" s="1669"/>
      <c r="R208" s="1669"/>
      <c r="S208" s="1669"/>
      <c r="T208" s="1669"/>
      <c r="U208" s="1669"/>
      <c r="V208" s="1669"/>
      <c r="W208" s="1669"/>
      <c r="X208" s="1669"/>
      <c r="Y208" s="1669"/>
      <c r="Z208" s="1669"/>
      <c r="AA208" s="1669"/>
      <c r="AB208" s="1669"/>
      <c r="AC208" s="1669"/>
      <c r="AD208" s="1668"/>
      <c r="AE208" s="1668"/>
      <c r="AF208" s="1668"/>
      <c r="AG208" s="1668"/>
      <c r="AH208" s="1668"/>
      <c r="AI208" s="1668"/>
    </row>
    <row r="209" spans="1:35">
      <c r="A209" s="1669"/>
      <c r="B209" s="1669"/>
      <c r="C209" s="1669"/>
      <c r="D209" s="1669"/>
      <c r="E209" s="1669"/>
      <c r="F209" s="1669"/>
      <c r="G209" s="1669"/>
      <c r="H209" s="1669"/>
      <c r="I209" s="1669"/>
      <c r="J209" s="1669"/>
      <c r="K209" s="1669"/>
      <c r="L209" s="1669"/>
      <c r="M209" s="1669"/>
      <c r="N209" s="1669"/>
      <c r="O209" s="1669"/>
      <c r="P209" s="1669"/>
      <c r="Q209" s="1669"/>
      <c r="R209" s="1669"/>
      <c r="S209" s="1669"/>
      <c r="T209" s="1669"/>
      <c r="U209" s="1669"/>
      <c r="V209" s="1669"/>
      <c r="W209" s="1669"/>
      <c r="X209" s="1669"/>
      <c r="Y209" s="1669"/>
      <c r="Z209" s="1669"/>
      <c r="AA209" s="1669"/>
      <c r="AB209" s="1669"/>
      <c r="AC209" s="1669"/>
      <c r="AD209" s="1668"/>
      <c r="AE209" s="1668"/>
      <c r="AF209" s="1668"/>
      <c r="AG209" s="1668"/>
      <c r="AH209" s="1668"/>
      <c r="AI209" s="1668"/>
    </row>
    <row r="210" spans="1:35">
      <c r="A210" s="1669"/>
      <c r="B210" s="1669"/>
      <c r="C210" s="1669"/>
      <c r="D210" s="1669"/>
      <c r="E210" s="1669"/>
      <c r="F210" s="1669"/>
      <c r="G210" s="1669"/>
      <c r="H210" s="1669"/>
      <c r="I210" s="1669"/>
      <c r="J210" s="1669"/>
      <c r="K210" s="1669"/>
      <c r="L210" s="1669"/>
      <c r="M210" s="1669"/>
      <c r="N210" s="1669"/>
      <c r="O210" s="1669"/>
      <c r="P210" s="1669"/>
      <c r="Q210" s="1669"/>
      <c r="R210" s="1669"/>
      <c r="S210" s="1669"/>
      <c r="T210" s="1669"/>
      <c r="U210" s="1669"/>
      <c r="V210" s="1669"/>
      <c r="W210" s="1669"/>
      <c r="X210" s="1669"/>
      <c r="Y210" s="1669"/>
      <c r="Z210" s="1669"/>
      <c r="AA210" s="1669"/>
      <c r="AB210" s="1669"/>
      <c r="AC210" s="1669"/>
      <c r="AD210" s="1668"/>
      <c r="AE210" s="1668"/>
      <c r="AF210" s="1668"/>
      <c r="AG210" s="1668"/>
      <c r="AH210" s="1668"/>
      <c r="AI210" s="1668"/>
    </row>
    <row r="211" spans="1:35">
      <c r="A211" s="1669"/>
      <c r="B211" s="1669"/>
      <c r="C211" s="1669"/>
      <c r="D211" s="1669"/>
      <c r="E211" s="1669"/>
      <c r="F211" s="1669"/>
      <c r="G211" s="1669"/>
      <c r="H211" s="1669"/>
      <c r="I211" s="1669"/>
      <c r="J211" s="1669"/>
      <c r="K211" s="1669"/>
      <c r="L211" s="1669"/>
      <c r="M211" s="1669"/>
      <c r="N211" s="1669"/>
      <c r="O211" s="1669"/>
      <c r="P211" s="1669"/>
      <c r="Q211" s="1669"/>
      <c r="R211" s="1669"/>
      <c r="S211" s="1669"/>
      <c r="T211" s="1669"/>
      <c r="U211" s="1669"/>
      <c r="V211" s="1669"/>
      <c r="W211" s="1669"/>
      <c r="X211" s="1669"/>
      <c r="Y211" s="1669"/>
      <c r="Z211" s="1669"/>
      <c r="AA211" s="1669"/>
      <c r="AB211" s="1669"/>
      <c r="AC211" s="1669"/>
      <c r="AD211" s="1668"/>
      <c r="AE211" s="1668"/>
      <c r="AF211" s="1668"/>
      <c r="AG211" s="1668"/>
      <c r="AH211" s="1668"/>
      <c r="AI211" s="1668"/>
    </row>
    <row r="212" spans="1:35">
      <c r="A212" s="1669"/>
      <c r="B212" s="1669"/>
      <c r="C212" s="1669"/>
      <c r="D212" s="1669"/>
      <c r="E212" s="1669"/>
      <c r="F212" s="1669"/>
      <c r="G212" s="1669"/>
      <c r="H212" s="1669"/>
      <c r="I212" s="1669"/>
      <c r="J212" s="1669"/>
      <c r="K212" s="1669"/>
      <c r="L212" s="1669"/>
      <c r="M212" s="1669"/>
      <c r="N212" s="1669"/>
      <c r="O212" s="1669"/>
      <c r="P212" s="1669"/>
      <c r="Q212" s="1669"/>
      <c r="R212" s="1669"/>
      <c r="S212" s="1669"/>
      <c r="T212" s="1669"/>
      <c r="U212" s="1669"/>
      <c r="V212" s="1669"/>
      <c r="W212" s="1669"/>
      <c r="X212" s="1669"/>
      <c r="Y212" s="1669"/>
      <c r="Z212" s="1669"/>
      <c r="AA212" s="1669"/>
      <c r="AB212" s="1669"/>
      <c r="AC212" s="1669"/>
      <c r="AD212" s="1668"/>
      <c r="AE212" s="1668"/>
      <c r="AF212" s="1668"/>
      <c r="AG212" s="1668"/>
      <c r="AH212" s="1668"/>
      <c r="AI212" s="1668"/>
    </row>
    <row r="213" spans="1:35">
      <c r="A213" s="1669"/>
      <c r="B213" s="1669"/>
      <c r="C213" s="1669"/>
      <c r="D213" s="1669"/>
      <c r="E213" s="1669"/>
      <c r="F213" s="1669"/>
      <c r="G213" s="1669"/>
      <c r="H213" s="1669"/>
      <c r="I213" s="1669"/>
      <c r="J213" s="1669"/>
      <c r="K213" s="1669"/>
      <c r="L213" s="1669"/>
      <c r="M213" s="1669"/>
      <c r="N213" s="1669"/>
      <c r="O213" s="1669"/>
      <c r="P213" s="1669"/>
      <c r="Q213" s="1669"/>
      <c r="R213" s="1669"/>
      <c r="S213" s="1669"/>
      <c r="T213" s="1669"/>
      <c r="U213" s="1669"/>
      <c r="V213" s="1669"/>
      <c r="W213" s="1669"/>
      <c r="X213" s="1669"/>
      <c r="Y213" s="1669"/>
      <c r="Z213" s="1669"/>
      <c r="AA213" s="1669"/>
      <c r="AB213" s="1669"/>
      <c r="AC213" s="1669"/>
      <c r="AD213" s="1668"/>
      <c r="AE213" s="1668"/>
      <c r="AF213" s="1668"/>
      <c r="AG213" s="1668"/>
      <c r="AH213" s="1668"/>
      <c r="AI213" s="1668"/>
    </row>
    <row r="214" spans="1:35">
      <c r="A214" s="1669"/>
      <c r="B214" s="1669"/>
      <c r="C214" s="1669"/>
      <c r="D214" s="1669"/>
      <c r="E214" s="1669"/>
      <c r="F214" s="1669"/>
      <c r="G214" s="1669"/>
      <c r="H214" s="1669"/>
      <c r="I214" s="1669"/>
      <c r="J214" s="1669"/>
      <c r="K214" s="1669"/>
      <c r="L214" s="1669"/>
      <c r="M214" s="1669"/>
      <c r="N214" s="1669"/>
      <c r="O214" s="1669"/>
      <c r="P214" s="1669"/>
      <c r="Q214" s="1669"/>
      <c r="R214" s="1669"/>
      <c r="S214" s="1669"/>
      <c r="T214" s="1669"/>
      <c r="U214" s="1669"/>
      <c r="V214" s="1669"/>
      <c r="W214" s="1669"/>
      <c r="X214" s="1669"/>
      <c r="Y214" s="1669"/>
      <c r="Z214" s="1669"/>
      <c r="AA214" s="1669"/>
      <c r="AB214" s="1669"/>
      <c r="AC214" s="1669"/>
      <c r="AD214" s="1668"/>
      <c r="AE214" s="1668"/>
      <c r="AF214" s="1668"/>
      <c r="AG214" s="1668"/>
      <c r="AH214" s="1668"/>
      <c r="AI214" s="1668"/>
    </row>
    <row r="215" spans="1:35">
      <c r="A215" s="1669"/>
      <c r="B215" s="1669"/>
      <c r="C215" s="1669"/>
      <c r="D215" s="1669"/>
      <c r="E215" s="1669"/>
      <c r="F215" s="1669"/>
      <c r="G215" s="1669"/>
      <c r="H215" s="1669"/>
      <c r="I215" s="1669"/>
      <c r="J215" s="1669"/>
      <c r="K215" s="1669"/>
      <c r="L215" s="1669"/>
      <c r="M215" s="1669"/>
      <c r="N215" s="1669"/>
      <c r="O215" s="1669"/>
      <c r="P215" s="1669"/>
      <c r="Q215" s="1669"/>
      <c r="R215" s="1669"/>
      <c r="S215" s="1669"/>
      <c r="T215" s="1669"/>
      <c r="U215" s="1669"/>
      <c r="V215" s="1669"/>
      <c r="W215" s="1669"/>
      <c r="X215" s="1669"/>
      <c r="Y215" s="1669"/>
      <c r="Z215" s="1669"/>
      <c r="AA215" s="1669"/>
      <c r="AB215" s="1669"/>
      <c r="AC215" s="1669"/>
      <c r="AD215" s="1668"/>
      <c r="AE215" s="1668"/>
      <c r="AF215" s="1668"/>
      <c r="AG215" s="1668"/>
      <c r="AH215" s="1668"/>
      <c r="AI215" s="1668"/>
    </row>
    <row r="216" spans="1:35">
      <c r="A216" s="1669"/>
      <c r="B216" s="1669"/>
      <c r="C216" s="1669"/>
      <c r="D216" s="1669"/>
      <c r="E216" s="1669"/>
      <c r="F216" s="1669"/>
      <c r="G216" s="1669"/>
      <c r="H216" s="1669"/>
      <c r="I216" s="1669"/>
      <c r="J216" s="1669"/>
      <c r="K216" s="1669"/>
      <c r="L216" s="1669"/>
      <c r="M216" s="1669"/>
      <c r="N216" s="1669"/>
      <c r="O216" s="1669"/>
      <c r="P216" s="1669"/>
      <c r="Q216" s="1669"/>
      <c r="R216" s="1669"/>
      <c r="S216" s="1669"/>
      <c r="T216" s="1669"/>
      <c r="U216" s="1669"/>
      <c r="V216" s="1669"/>
      <c r="W216" s="1669"/>
      <c r="X216" s="1669"/>
      <c r="Y216" s="1669"/>
      <c r="Z216" s="1669"/>
      <c r="AA216" s="1669"/>
      <c r="AB216" s="1669"/>
      <c r="AC216" s="1669"/>
      <c r="AD216" s="1668"/>
      <c r="AE216" s="1668"/>
      <c r="AF216" s="1668"/>
      <c r="AG216" s="1668"/>
      <c r="AH216" s="1668"/>
      <c r="AI216" s="1668"/>
    </row>
    <row r="217" spans="1:35">
      <c r="A217" s="1669"/>
      <c r="B217" s="1669"/>
      <c r="C217" s="1669"/>
      <c r="D217" s="1669"/>
      <c r="E217" s="1669"/>
      <c r="F217" s="1669"/>
      <c r="G217" s="1669"/>
      <c r="H217" s="1669"/>
      <c r="I217" s="1669"/>
      <c r="J217" s="1669"/>
      <c r="K217" s="1669"/>
      <c r="L217" s="1669"/>
      <c r="M217" s="1669"/>
      <c r="N217" s="1669"/>
      <c r="O217" s="1669"/>
      <c r="P217" s="1669"/>
      <c r="Q217" s="1669"/>
      <c r="R217" s="1669"/>
      <c r="S217" s="1669"/>
      <c r="T217" s="1669"/>
      <c r="U217" s="1669"/>
      <c r="V217" s="1669"/>
      <c r="W217" s="1669"/>
      <c r="X217" s="1669"/>
      <c r="Y217" s="1669"/>
      <c r="Z217" s="1669"/>
      <c r="AA217" s="1669"/>
      <c r="AB217" s="1669"/>
      <c r="AC217" s="1669"/>
      <c r="AD217" s="1668"/>
      <c r="AE217" s="1668"/>
      <c r="AF217" s="1668"/>
      <c r="AG217" s="1668"/>
      <c r="AH217" s="1668"/>
      <c r="AI217" s="1668"/>
    </row>
    <row r="218" spans="1:35">
      <c r="A218" s="1669"/>
      <c r="B218" s="1669"/>
      <c r="C218" s="1669"/>
      <c r="D218" s="1669"/>
      <c r="E218" s="1669"/>
      <c r="F218" s="1669"/>
      <c r="G218" s="1669"/>
      <c r="H218" s="1669"/>
      <c r="I218" s="1669"/>
      <c r="J218" s="1669"/>
      <c r="K218" s="1669"/>
      <c r="L218" s="1669"/>
      <c r="M218" s="1669"/>
      <c r="N218" s="1669"/>
      <c r="O218" s="1669"/>
      <c r="P218" s="1669"/>
      <c r="Q218" s="1669"/>
      <c r="R218" s="1669"/>
      <c r="S218" s="1669"/>
      <c r="T218" s="1669"/>
      <c r="U218" s="1669"/>
      <c r="V218" s="1669"/>
      <c r="W218" s="1669"/>
      <c r="X218" s="1669"/>
      <c r="Y218" s="1669"/>
      <c r="Z218" s="1669"/>
      <c r="AA218" s="1669"/>
      <c r="AB218" s="1669"/>
      <c r="AC218" s="1669"/>
      <c r="AD218" s="1668"/>
      <c r="AE218" s="1668"/>
      <c r="AF218" s="1668"/>
      <c r="AG218" s="1668"/>
      <c r="AH218" s="1668"/>
      <c r="AI218" s="1668"/>
    </row>
    <row r="219" spans="1:35">
      <c r="A219" s="1669"/>
      <c r="B219" s="1669"/>
      <c r="C219" s="1669"/>
      <c r="D219" s="1669"/>
      <c r="E219" s="1669"/>
      <c r="F219" s="1669"/>
      <c r="G219" s="1669"/>
      <c r="H219" s="1669"/>
      <c r="I219" s="1669"/>
      <c r="J219" s="1669"/>
      <c r="K219" s="1669"/>
      <c r="L219" s="1669"/>
      <c r="M219" s="1669"/>
      <c r="N219" s="1669"/>
      <c r="O219" s="1669"/>
      <c r="P219" s="1669"/>
      <c r="Q219" s="1669"/>
      <c r="R219" s="1669"/>
      <c r="S219" s="1669"/>
      <c r="T219" s="1669"/>
      <c r="U219" s="1669"/>
      <c r="V219" s="1669"/>
      <c r="W219" s="1669"/>
      <c r="X219" s="1669"/>
      <c r="Y219" s="1669"/>
      <c r="Z219" s="1669"/>
      <c r="AA219" s="1669"/>
      <c r="AB219" s="1669"/>
      <c r="AC219" s="1669"/>
      <c r="AD219" s="1668"/>
      <c r="AE219" s="1668"/>
      <c r="AF219" s="1668"/>
      <c r="AG219" s="1668"/>
      <c r="AH219" s="1668"/>
      <c r="AI219" s="1668"/>
    </row>
    <row r="220" spans="1:35">
      <c r="A220" s="1669"/>
      <c r="B220" s="1669"/>
      <c r="C220" s="1669"/>
      <c r="D220" s="1669"/>
      <c r="E220" s="1669"/>
      <c r="F220" s="1669"/>
      <c r="G220" s="1669"/>
      <c r="H220" s="1669"/>
      <c r="I220" s="1669"/>
      <c r="J220" s="1669"/>
      <c r="K220" s="1669"/>
      <c r="L220" s="1669"/>
      <c r="M220" s="1669"/>
      <c r="N220" s="1669"/>
      <c r="O220" s="1669"/>
      <c r="P220" s="1669"/>
      <c r="Q220" s="1669"/>
      <c r="R220" s="1669"/>
      <c r="S220" s="1669"/>
      <c r="T220" s="1669"/>
      <c r="U220" s="1669"/>
      <c r="V220" s="1669"/>
      <c r="W220" s="1669"/>
      <c r="X220" s="1669"/>
      <c r="Y220" s="1669"/>
      <c r="Z220" s="1669"/>
      <c r="AA220" s="1669"/>
      <c r="AB220" s="1669"/>
      <c r="AC220" s="1669"/>
      <c r="AD220" s="1668"/>
      <c r="AE220" s="1668"/>
      <c r="AF220" s="1668"/>
      <c r="AG220" s="1668"/>
      <c r="AH220" s="1668"/>
      <c r="AI220" s="1668"/>
    </row>
    <row r="221" spans="1:35">
      <c r="A221" s="1669"/>
      <c r="B221" s="1669"/>
      <c r="C221" s="1669"/>
      <c r="D221" s="1669"/>
      <c r="E221" s="1669"/>
      <c r="F221" s="1669"/>
      <c r="G221" s="1669"/>
      <c r="H221" s="1669"/>
      <c r="I221" s="1669"/>
      <c r="J221" s="1669"/>
      <c r="K221" s="1669"/>
      <c r="L221" s="1669"/>
      <c r="M221" s="1669"/>
      <c r="N221" s="1669"/>
      <c r="O221" s="1669"/>
      <c r="P221" s="1669"/>
      <c r="Q221" s="1669"/>
      <c r="R221" s="1669"/>
      <c r="S221" s="1669"/>
      <c r="T221" s="1669"/>
      <c r="U221" s="1669"/>
      <c r="V221" s="1669"/>
      <c r="W221" s="1669"/>
      <c r="X221" s="1669"/>
      <c r="Y221" s="1669"/>
      <c r="Z221" s="1669"/>
      <c r="AA221" s="1669"/>
      <c r="AB221" s="1669"/>
      <c r="AC221" s="1669"/>
      <c r="AD221" s="1668"/>
      <c r="AE221" s="1668"/>
      <c r="AF221" s="1668"/>
      <c r="AG221" s="1668"/>
      <c r="AH221" s="1668"/>
      <c r="AI221" s="1668"/>
    </row>
    <row r="222" spans="1:35">
      <c r="A222" s="1669"/>
      <c r="B222" s="1669"/>
      <c r="C222" s="1669"/>
      <c r="D222" s="1669"/>
      <c r="E222" s="1669"/>
      <c r="F222" s="1669"/>
      <c r="G222" s="1669"/>
      <c r="H222" s="1669"/>
      <c r="I222" s="1669"/>
      <c r="J222" s="1669"/>
      <c r="K222" s="1669"/>
      <c r="L222" s="1669"/>
      <c r="M222" s="1669"/>
      <c r="N222" s="1669"/>
      <c r="O222" s="1669"/>
      <c r="P222" s="1669"/>
      <c r="Q222" s="1669"/>
      <c r="R222" s="1669"/>
      <c r="S222" s="1669"/>
      <c r="T222" s="1669"/>
      <c r="U222" s="1669"/>
      <c r="V222" s="1669"/>
      <c r="W222" s="1669"/>
      <c r="X222" s="1669"/>
      <c r="Y222" s="1669"/>
      <c r="Z222" s="1669"/>
      <c r="AA222" s="1669"/>
      <c r="AB222" s="1669"/>
      <c r="AC222" s="1669"/>
      <c r="AD222" s="1668"/>
      <c r="AE222" s="1668"/>
      <c r="AF222" s="1668"/>
      <c r="AG222" s="1668"/>
      <c r="AH222" s="1668"/>
      <c r="AI222" s="1668"/>
    </row>
    <row r="223" spans="1:35">
      <c r="A223" s="1669"/>
      <c r="B223" s="1669"/>
      <c r="C223" s="1669"/>
      <c r="D223" s="1669"/>
      <c r="E223" s="1669"/>
      <c r="F223" s="1669"/>
      <c r="G223" s="1669"/>
      <c r="H223" s="1669"/>
      <c r="I223" s="1669"/>
      <c r="J223" s="1669"/>
      <c r="K223" s="1669"/>
      <c r="L223" s="1669"/>
      <c r="M223" s="1669"/>
      <c r="N223" s="1669"/>
      <c r="O223" s="1669"/>
      <c r="P223" s="1669"/>
      <c r="Q223" s="1669"/>
      <c r="R223" s="1669"/>
      <c r="S223" s="1669"/>
      <c r="T223" s="1669"/>
      <c r="U223" s="1669"/>
      <c r="V223" s="1669"/>
      <c r="W223" s="1669"/>
      <c r="X223" s="1669"/>
      <c r="Y223" s="1669"/>
      <c r="Z223" s="1669"/>
      <c r="AA223" s="1669"/>
      <c r="AB223" s="1669"/>
      <c r="AC223" s="1669"/>
      <c r="AD223" s="1668"/>
      <c r="AE223" s="1668"/>
      <c r="AF223" s="1668"/>
      <c r="AG223" s="1668"/>
      <c r="AH223" s="1668"/>
      <c r="AI223" s="1668"/>
    </row>
    <row r="224" spans="1:35">
      <c r="A224" s="1669"/>
      <c r="B224" s="1669"/>
      <c r="C224" s="1669"/>
      <c r="D224" s="1669"/>
      <c r="E224" s="1669"/>
      <c r="F224" s="1669"/>
      <c r="G224" s="1669"/>
      <c r="H224" s="1669"/>
      <c r="I224" s="1669"/>
      <c r="J224" s="1669"/>
      <c r="K224" s="1669"/>
      <c r="L224" s="1669"/>
      <c r="M224" s="1669"/>
      <c r="N224" s="1669"/>
      <c r="O224" s="1669"/>
      <c r="P224" s="1669"/>
      <c r="Q224" s="1669"/>
      <c r="R224" s="1669"/>
      <c r="S224" s="1669"/>
      <c r="T224" s="1669"/>
      <c r="U224" s="1669"/>
      <c r="V224" s="1669"/>
      <c r="W224" s="1669"/>
      <c r="X224" s="1669"/>
      <c r="Y224" s="1669"/>
      <c r="Z224" s="1669"/>
      <c r="AA224" s="1669"/>
      <c r="AB224" s="1669"/>
      <c r="AC224" s="1669"/>
      <c r="AD224" s="1668"/>
      <c r="AE224" s="1668"/>
      <c r="AF224" s="1668"/>
      <c r="AG224" s="1668"/>
      <c r="AH224" s="1668"/>
      <c r="AI224" s="1668"/>
    </row>
    <row r="225" spans="1:35">
      <c r="A225" s="1669"/>
      <c r="B225" s="1669"/>
      <c r="C225" s="1669"/>
      <c r="D225" s="1669"/>
      <c r="E225" s="1669"/>
      <c r="F225" s="1669"/>
      <c r="G225" s="1669"/>
      <c r="H225" s="1669"/>
      <c r="I225" s="1669"/>
      <c r="J225" s="1669"/>
      <c r="K225" s="1669"/>
      <c r="L225" s="1669"/>
      <c r="M225" s="1669"/>
      <c r="N225" s="1669"/>
      <c r="O225" s="1669"/>
      <c r="P225" s="1669"/>
      <c r="Q225" s="1669"/>
      <c r="R225" s="1669"/>
      <c r="S225" s="1669"/>
      <c r="T225" s="1669"/>
      <c r="U225" s="1669"/>
      <c r="V225" s="1669"/>
      <c r="W225" s="1669"/>
      <c r="X225" s="1669"/>
      <c r="Y225" s="1669"/>
      <c r="Z225" s="1669"/>
      <c r="AA225" s="1669"/>
      <c r="AB225" s="1669"/>
      <c r="AC225" s="1669"/>
      <c r="AD225" s="1668"/>
      <c r="AE225" s="1668"/>
      <c r="AF225" s="1668"/>
      <c r="AG225" s="1668"/>
      <c r="AH225" s="1668"/>
      <c r="AI225" s="1668"/>
    </row>
    <row r="226" spans="1:35">
      <c r="A226" s="1669"/>
      <c r="B226" s="1669"/>
      <c r="C226" s="1669"/>
      <c r="D226" s="1669"/>
      <c r="E226" s="1669"/>
      <c r="F226" s="1669"/>
      <c r="G226" s="1669"/>
      <c r="H226" s="1669"/>
      <c r="I226" s="1669"/>
      <c r="J226" s="1669"/>
      <c r="K226" s="1669"/>
      <c r="L226" s="1669"/>
      <c r="M226" s="1669"/>
      <c r="N226" s="1669"/>
      <c r="O226" s="1669"/>
      <c r="P226" s="1669"/>
      <c r="Q226" s="1669"/>
      <c r="R226" s="1669"/>
      <c r="S226" s="1669"/>
      <c r="T226" s="1669"/>
      <c r="U226" s="1669"/>
      <c r="V226" s="1669"/>
      <c r="W226" s="1669"/>
      <c r="X226" s="1669"/>
      <c r="Y226" s="1669"/>
      <c r="Z226" s="1669"/>
      <c r="AA226" s="1669"/>
      <c r="AB226" s="1669"/>
      <c r="AC226" s="1669"/>
      <c r="AD226" s="1668"/>
      <c r="AE226" s="1668"/>
      <c r="AF226" s="1668"/>
      <c r="AG226" s="1668"/>
      <c r="AH226" s="1668"/>
      <c r="AI226" s="1668"/>
    </row>
    <row r="227" spans="1:35">
      <c r="A227" s="1669"/>
      <c r="B227" s="1669"/>
      <c r="C227" s="1669"/>
      <c r="D227" s="1669"/>
      <c r="E227" s="1669"/>
      <c r="F227" s="1669"/>
      <c r="G227" s="1669"/>
      <c r="H227" s="1669"/>
      <c r="I227" s="1669"/>
      <c r="J227" s="1669"/>
      <c r="K227" s="1669"/>
      <c r="L227" s="1669"/>
      <c r="M227" s="1669"/>
      <c r="N227" s="1669"/>
      <c r="O227" s="1669"/>
      <c r="P227" s="1669"/>
      <c r="Q227" s="1669"/>
      <c r="R227" s="1669"/>
      <c r="S227" s="1669"/>
      <c r="T227" s="1669"/>
      <c r="U227" s="1669"/>
      <c r="V227" s="1669"/>
      <c r="W227" s="1669"/>
      <c r="X227" s="1669"/>
      <c r="Y227" s="1669"/>
      <c r="Z227" s="1669"/>
      <c r="AA227" s="1669"/>
      <c r="AB227" s="1669"/>
      <c r="AC227" s="1669"/>
      <c r="AD227" s="1668"/>
      <c r="AE227" s="1668"/>
      <c r="AF227" s="1668"/>
      <c r="AG227" s="1668"/>
      <c r="AH227" s="1668"/>
      <c r="AI227" s="1668"/>
    </row>
    <row r="228" spans="1:35">
      <c r="A228" s="1669"/>
      <c r="B228" s="1669"/>
      <c r="C228" s="1669"/>
      <c r="D228" s="1669"/>
      <c r="E228" s="1669"/>
      <c r="F228" s="1669"/>
      <c r="G228" s="1669"/>
      <c r="H228" s="1669"/>
      <c r="I228" s="1669"/>
      <c r="J228" s="1669"/>
      <c r="K228" s="1669"/>
      <c r="L228" s="1669"/>
      <c r="M228" s="1669"/>
      <c r="N228" s="1669"/>
      <c r="O228" s="1669"/>
      <c r="P228" s="1669"/>
      <c r="Q228" s="1669"/>
      <c r="R228" s="1669"/>
      <c r="S228" s="1669"/>
      <c r="T228" s="1669"/>
      <c r="U228" s="1669"/>
      <c r="V228" s="1669"/>
      <c r="W228" s="1669"/>
      <c r="X228" s="1669"/>
      <c r="Y228" s="1669"/>
      <c r="Z228" s="1669"/>
      <c r="AA228" s="1669"/>
      <c r="AB228" s="1669"/>
      <c r="AC228" s="1669"/>
      <c r="AD228" s="1668"/>
      <c r="AE228" s="1668"/>
      <c r="AF228" s="1668"/>
      <c r="AG228" s="1668"/>
      <c r="AH228" s="1668"/>
      <c r="AI228" s="1668"/>
    </row>
    <row r="229" spans="1:35">
      <c r="A229" s="1669"/>
      <c r="B229" s="1669"/>
      <c r="C229" s="1669"/>
      <c r="D229" s="1669"/>
      <c r="E229" s="1669"/>
      <c r="F229" s="1669"/>
      <c r="G229" s="1669"/>
      <c r="H229" s="1669"/>
      <c r="I229" s="1669"/>
      <c r="J229" s="1669"/>
      <c r="K229" s="1669"/>
      <c r="L229" s="1669"/>
      <c r="M229" s="1669"/>
      <c r="N229" s="1669"/>
      <c r="O229" s="1669"/>
      <c r="P229" s="1669"/>
      <c r="Q229" s="1669"/>
      <c r="R229" s="1669"/>
      <c r="S229" s="1669"/>
      <c r="T229" s="1669"/>
      <c r="U229" s="1669"/>
      <c r="V229" s="1669"/>
      <c r="W229" s="1669"/>
      <c r="X229" s="1669"/>
      <c r="Y229" s="1669"/>
      <c r="Z229" s="1669"/>
      <c r="AA229" s="1669"/>
      <c r="AB229" s="1669"/>
      <c r="AC229" s="1669"/>
      <c r="AD229" s="1668"/>
      <c r="AE229" s="1668"/>
      <c r="AF229" s="1668"/>
      <c r="AG229" s="1668"/>
      <c r="AH229" s="1668"/>
      <c r="AI229" s="1668"/>
    </row>
    <row r="230" spans="1:35">
      <c r="A230" s="1669"/>
      <c r="B230" s="1669"/>
      <c r="C230" s="1669"/>
      <c r="D230" s="1669"/>
      <c r="E230" s="1669"/>
      <c r="F230" s="1669"/>
      <c r="G230" s="1669"/>
      <c r="H230" s="1669"/>
      <c r="I230" s="1669"/>
      <c r="J230" s="1669"/>
      <c r="K230" s="1669"/>
      <c r="L230" s="1669"/>
      <c r="M230" s="1669"/>
      <c r="N230" s="1669"/>
      <c r="O230" s="1669"/>
      <c r="P230" s="1669"/>
      <c r="Q230" s="1669"/>
      <c r="R230" s="1669"/>
      <c r="S230" s="1669"/>
      <c r="T230" s="1669"/>
      <c r="U230" s="1669"/>
      <c r="V230" s="1669"/>
      <c r="W230" s="1669"/>
      <c r="X230" s="1669"/>
      <c r="Y230" s="1669"/>
      <c r="Z230" s="1669"/>
      <c r="AA230" s="1669"/>
      <c r="AB230" s="1669"/>
      <c r="AC230" s="1669"/>
      <c r="AD230" s="1668"/>
      <c r="AE230" s="1668"/>
      <c r="AF230" s="1668"/>
      <c r="AG230" s="1668"/>
      <c r="AH230" s="1668"/>
      <c r="AI230" s="1668"/>
    </row>
    <row r="231" spans="1:35">
      <c r="A231" s="1669"/>
      <c r="B231" s="1669"/>
      <c r="C231" s="1669"/>
      <c r="D231" s="1669"/>
      <c r="E231" s="1669"/>
      <c r="F231" s="1669"/>
      <c r="G231" s="1669"/>
      <c r="H231" s="1669"/>
      <c r="I231" s="1669"/>
      <c r="J231" s="1669"/>
      <c r="K231" s="1669"/>
      <c r="L231" s="1669"/>
      <c r="M231" s="1669"/>
      <c r="N231" s="1669"/>
      <c r="O231" s="1669"/>
      <c r="P231" s="1669"/>
      <c r="Q231" s="1669"/>
      <c r="R231" s="1669"/>
      <c r="S231" s="1669"/>
      <c r="T231" s="1669"/>
      <c r="U231" s="1669"/>
      <c r="V231" s="1669"/>
      <c r="W231" s="1669"/>
      <c r="X231" s="1669"/>
      <c r="Y231" s="1669"/>
      <c r="Z231" s="1669"/>
      <c r="AA231" s="1669"/>
      <c r="AB231" s="1669"/>
      <c r="AC231" s="1669"/>
      <c r="AD231" s="1668"/>
      <c r="AE231" s="1668"/>
      <c r="AF231" s="1668"/>
      <c r="AG231" s="1668"/>
      <c r="AH231" s="1668"/>
      <c r="AI231" s="1668"/>
    </row>
    <row r="232" spans="1:35">
      <c r="A232" s="1669"/>
      <c r="B232" s="1669"/>
      <c r="C232" s="1669"/>
      <c r="D232" s="1669"/>
      <c r="E232" s="1669"/>
      <c r="F232" s="1669"/>
      <c r="G232" s="1669"/>
      <c r="H232" s="1669"/>
      <c r="I232" s="1669"/>
      <c r="J232" s="1669"/>
      <c r="K232" s="1669"/>
      <c r="L232" s="1669"/>
      <c r="M232" s="1669"/>
      <c r="N232" s="1669"/>
      <c r="O232" s="1669"/>
      <c r="P232" s="1669"/>
      <c r="Q232" s="1669"/>
      <c r="R232" s="1669"/>
      <c r="S232" s="1669"/>
      <c r="T232" s="1669"/>
      <c r="U232" s="1669"/>
      <c r="V232" s="1669"/>
      <c r="W232" s="1669"/>
      <c r="X232" s="1669"/>
      <c r="Y232" s="1669"/>
      <c r="Z232" s="1669"/>
      <c r="AA232" s="1669"/>
      <c r="AB232" s="1669"/>
      <c r="AC232" s="1669"/>
      <c r="AD232" s="1668"/>
      <c r="AE232" s="1668"/>
      <c r="AF232" s="1668"/>
      <c r="AG232" s="1668"/>
      <c r="AH232" s="1668"/>
      <c r="AI232" s="1668"/>
    </row>
    <row r="233" spans="1:35">
      <c r="A233" s="1669"/>
      <c r="B233" s="1669"/>
      <c r="C233" s="1669"/>
      <c r="D233" s="1669"/>
      <c r="E233" s="1669"/>
      <c r="F233" s="1669"/>
      <c r="G233" s="1669"/>
      <c r="H233" s="1669"/>
      <c r="I233" s="1669"/>
      <c r="J233" s="1669"/>
      <c r="K233" s="1669"/>
      <c r="L233" s="1669"/>
      <c r="M233" s="1669"/>
      <c r="N233" s="1669"/>
      <c r="O233" s="1669"/>
      <c r="P233" s="1669"/>
      <c r="Q233" s="1669"/>
      <c r="R233" s="1669"/>
      <c r="S233" s="1669"/>
      <c r="T233" s="1669"/>
      <c r="U233" s="1669"/>
      <c r="V233" s="1669"/>
      <c r="W233" s="1669"/>
      <c r="X233" s="1669"/>
      <c r="Y233" s="1669"/>
      <c r="Z233" s="1669"/>
      <c r="AA233" s="1669"/>
      <c r="AB233" s="1669"/>
      <c r="AC233" s="1669"/>
      <c r="AD233" s="1668"/>
      <c r="AE233" s="1668"/>
      <c r="AF233" s="1668"/>
      <c r="AG233" s="1668"/>
      <c r="AH233" s="1668"/>
      <c r="AI233" s="1668"/>
    </row>
    <row r="234" spans="1:35">
      <c r="A234" s="1669"/>
      <c r="B234" s="1669"/>
      <c r="C234" s="1669"/>
      <c r="D234" s="1669"/>
      <c r="E234" s="1669"/>
      <c r="F234" s="1669"/>
      <c r="G234" s="1669"/>
      <c r="H234" s="1669"/>
      <c r="I234" s="1669"/>
      <c r="J234" s="1669"/>
      <c r="K234" s="1669"/>
      <c r="L234" s="1669"/>
      <c r="M234" s="1669"/>
      <c r="N234" s="1669"/>
      <c r="O234" s="1669"/>
      <c r="P234" s="1669"/>
      <c r="Q234" s="1669"/>
      <c r="R234" s="1669"/>
      <c r="S234" s="1669"/>
      <c r="T234" s="1669"/>
      <c r="U234" s="1669"/>
      <c r="V234" s="1669"/>
      <c r="W234" s="1669"/>
      <c r="X234" s="1669"/>
      <c r="Y234" s="1669"/>
      <c r="Z234" s="1669"/>
      <c r="AA234" s="1669"/>
      <c r="AB234" s="1669"/>
      <c r="AC234" s="1669"/>
      <c r="AD234" s="1668"/>
      <c r="AE234" s="1668"/>
      <c r="AF234" s="1668"/>
      <c r="AG234" s="1668"/>
      <c r="AH234" s="1668"/>
      <c r="AI234" s="1668"/>
    </row>
    <row r="235" spans="1:35">
      <c r="A235" s="1669"/>
      <c r="B235" s="1669"/>
      <c r="C235" s="1669"/>
      <c r="D235" s="1669"/>
      <c r="E235" s="1669"/>
      <c r="F235" s="1669"/>
      <c r="G235" s="1669"/>
      <c r="H235" s="1669"/>
      <c r="I235" s="1669"/>
      <c r="J235" s="1669"/>
      <c r="K235" s="1669"/>
      <c r="L235" s="1669"/>
      <c r="M235" s="1669"/>
      <c r="N235" s="1669"/>
      <c r="O235" s="1669"/>
      <c r="P235" s="1669"/>
      <c r="Q235" s="1669"/>
      <c r="R235" s="1669"/>
      <c r="S235" s="1669"/>
      <c r="T235" s="1669"/>
      <c r="U235" s="1669"/>
      <c r="V235" s="1669"/>
      <c r="W235" s="1669"/>
      <c r="X235" s="1669"/>
      <c r="Y235" s="1669"/>
      <c r="Z235" s="1669"/>
      <c r="AA235" s="1669"/>
      <c r="AB235" s="1669"/>
      <c r="AC235" s="1669"/>
      <c r="AD235" s="1668"/>
      <c r="AE235" s="1668"/>
      <c r="AF235" s="1668"/>
      <c r="AG235" s="1668"/>
      <c r="AH235" s="1668"/>
      <c r="AI235" s="1668"/>
    </row>
    <row r="236" spans="1:35">
      <c r="A236" s="1669"/>
      <c r="B236" s="1669"/>
      <c r="C236" s="1669"/>
      <c r="D236" s="1669"/>
      <c r="E236" s="1669"/>
      <c r="F236" s="1669"/>
      <c r="G236" s="1669"/>
      <c r="H236" s="1669"/>
      <c r="I236" s="1669"/>
      <c r="J236" s="1669"/>
      <c r="K236" s="1669"/>
      <c r="L236" s="1669"/>
      <c r="M236" s="1669"/>
      <c r="N236" s="1669"/>
      <c r="O236" s="1669"/>
      <c r="P236" s="1669"/>
      <c r="Q236" s="1669"/>
      <c r="R236" s="1669"/>
      <c r="S236" s="1669"/>
      <c r="T236" s="1669"/>
      <c r="U236" s="1669"/>
      <c r="V236" s="1669"/>
      <c r="W236" s="1669"/>
      <c r="X236" s="1669"/>
      <c r="Y236" s="1669"/>
      <c r="Z236" s="1669"/>
      <c r="AA236" s="1669"/>
      <c r="AB236" s="1669"/>
      <c r="AC236" s="1669"/>
      <c r="AD236" s="1668"/>
      <c r="AE236" s="1668"/>
      <c r="AF236" s="1668"/>
      <c r="AG236" s="1668"/>
      <c r="AH236" s="1668"/>
      <c r="AI236" s="1668"/>
    </row>
    <row r="237" spans="1:35">
      <c r="A237" s="1669"/>
      <c r="B237" s="1669"/>
      <c r="C237" s="1669"/>
      <c r="D237" s="1669"/>
      <c r="E237" s="1669"/>
      <c r="F237" s="1669"/>
      <c r="G237" s="1669"/>
      <c r="H237" s="1669"/>
      <c r="I237" s="1669"/>
      <c r="J237" s="1669"/>
      <c r="K237" s="1669"/>
      <c r="L237" s="1669"/>
      <c r="M237" s="1669"/>
      <c r="N237" s="1669"/>
      <c r="O237" s="1669"/>
      <c r="P237" s="1669"/>
      <c r="Q237" s="1669"/>
      <c r="R237" s="1669"/>
      <c r="S237" s="1669"/>
      <c r="T237" s="1669"/>
      <c r="U237" s="1669"/>
      <c r="V237" s="1669"/>
      <c r="W237" s="1669"/>
      <c r="X237" s="1669"/>
      <c r="Y237" s="1669"/>
      <c r="Z237" s="1669"/>
      <c r="AA237" s="1669"/>
      <c r="AB237" s="1669"/>
      <c r="AC237" s="1669"/>
      <c r="AD237" s="1668"/>
      <c r="AE237" s="1668"/>
      <c r="AF237" s="1668"/>
      <c r="AG237" s="1668"/>
      <c r="AH237" s="1668"/>
      <c r="AI237" s="1668"/>
    </row>
    <row r="238" spans="1:35">
      <c r="A238" s="1669"/>
      <c r="B238" s="1669"/>
      <c r="C238" s="1669"/>
      <c r="D238" s="1669"/>
      <c r="E238" s="1669"/>
      <c r="F238" s="1669"/>
      <c r="G238" s="1669"/>
      <c r="H238" s="1669"/>
      <c r="I238" s="1669"/>
      <c r="J238" s="1669"/>
      <c r="K238" s="1669"/>
      <c r="L238" s="1669"/>
      <c r="M238" s="1669"/>
      <c r="N238" s="1669"/>
      <c r="O238" s="1669"/>
      <c r="P238" s="1669"/>
      <c r="Q238" s="1669"/>
      <c r="R238" s="1669"/>
      <c r="S238" s="1669"/>
      <c r="T238" s="1669"/>
      <c r="U238" s="1669"/>
      <c r="V238" s="1669"/>
      <c r="W238" s="1669"/>
      <c r="X238" s="1669"/>
      <c r="Y238" s="1669"/>
      <c r="Z238" s="1669"/>
      <c r="AA238" s="1669"/>
      <c r="AB238" s="1669"/>
      <c r="AC238" s="1669"/>
      <c r="AD238" s="1668"/>
      <c r="AE238" s="1668"/>
      <c r="AF238" s="1668"/>
      <c r="AG238" s="1668"/>
      <c r="AH238" s="1668"/>
      <c r="AI238" s="1668"/>
    </row>
    <row r="239" spans="1:35">
      <c r="A239" s="1669"/>
      <c r="B239" s="1669"/>
      <c r="C239" s="1669"/>
      <c r="D239" s="1669"/>
      <c r="E239" s="1669"/>
      <c r="F239" s="1669"/>
      <c r="G239" s="1669"/>
      <c r="H239" s="1669"/>
      <c r="I239" s="1669"/>
      <c r="J239" s="1669"/>
      <c r="K239" s="1669"/>
      <c r="L239" s="1669"/>
      <c r="M239" s="1669"/>
      <c r="N239" s="1669"/>
      <c r="O239" s="1669"/>
      <c r="P239" s="1669"/>
      <c r="Q239" s="1669"/>
      <c r="R239" s="1669"/>
      <c r="S239" s="1669"/>
      <c r="T239" s="1669"/>
      <c r="U239" s="1669"/>
      <c r="V239" s="1669"/>
      <c r="W239" s="1669"/>
      <c r="X239" s="1669"/>
      <c r="Y239" s="1669"/>
      <c r="Z239" s="1669"/>
      <c r="AA239" s="1669"/>
      <c r="AB239" s="1669"/>
      <c r="AC239" s="1669"/>
      <c r="AD239" s="1668"/>
      <c r="AE239" s="1668"/>
      <c r="AF239" s="1668"/>
      <c r="AG239" s="1668"/>
      <c r="AH239" s="1668"/>
      <c r="AI239" s="1668"/>
    </row>
    <row r="240" spans="1:35">
      <c r="A240" s="1669"/>
      <c r="B240" s="1669"/>
      <c r="C240" s="1669"/>
      <c r="D240" s="1669"/>
      <c r="E240" s="1669"/>
      <c r="F240" s="1669"/>
      <c r="G240" s="1669"/>
      <c r="H240" s="1669"/>
      <c r="I240" s="1669"/>
      <c r="J240" s="1669"/>
      <c r="K240" s="1669"/>
      <c r="L240" s="1669"/>
      <c r="M240" s="1669"/>
      <c r="N240" s="1669"/>
      <c r="O240" s="1669"/>
      <c r="P240" s="1669"/>
      <c r="Q240" s="1669"/>
      <c r="R240" s="1669"/>
      <c r="S240" s="1669"/>
      <c r="T240" s="1669"/>
      <c r="U240" s="1669"/>
      <c r="V240" s="1669"/>
      <c r="W240" s="1669"/>
      <c r="X240" s="1669"/>
      <c r="Y240" s="1669"/>
      <c r="Z240" s="1669"/>
      <c r="AA240" s="1669"/>
      <c r="AB240" s="1669"/>
      <c r="AC240" s="1669"/>
      <c r="AD240" s="1668"/>
      <c r="AE240" s="1668"/>
      <c r="AF240" s="1668"/>
      <c r="AG240" s="1668"/>
      <c r="AH240" s="1668"/>
      <c r="AI240" s="1668"/>
    </row>
    <row r="241" spans="1:35">
      <c r="A241" s="1669"/>
      <c r="B241" s="1669"/>
      <c r="C241" s="1669"/>
      <c r="D241" s="1669"/>
      <c r="E241" s="1669"/>
      <c r="F241" s="1669"/>
      <c r="G241" s="1669"/>
      <c r="H241" s="1669"/>
      <c r="I241" s="1669"/>
      <c r="J241" s="1669"/>
      <c r="K241" s="1669"/>
      <c r="L241" s="1669"/>
      <c r="M241" s="1669"/>
      <c r="N241" s="1669"/>
      <c r="O241" s="1669"/>
      <c r="P241" s="1669"/>
      <c r="Q241" s="1669"/>
      <c r="R241" s="1669"/>
      <c r="S241" s="1669"/>
      <c r="T241" s="1669"/>
      <c r="U241" s="1669"/>
      <c r="V241" s="1669"/>
      <c r="W241" s="1669"/>
      <c r="X241" s="1669"/>
      <c r="Y241" s="1669"/>
      <c r="Z241" s="1669"/>
      <c r="AA241" s="1669"/>
      <c r="AB241" s="1669"/>
      <c r="AC241" s="1669"/>
      <c r="AD241" s="1668"/>
      <c r="AE241" s="1668"/>
      <c r="AF241" s="1668"/>
      <c r="AG241" s="1668"/>
      <c r="AH241" s="1668"/>
      <c r="AI241" s="1668"/>
    </row>
    <row r="242" spans="1:35">
      <c r="A242" s="1669"/>
      <c r="B242" s="1669"/>
      <c r="C242" s="1669"/>
      <c r="D242" s="1669"/>
      <c r="E242" s="1669"/>
      <c r="F242" s="1669"/>
      <c r="G242" s="1669"/>
      <c r="H242" s="1669"/>
      <c r="I242" s="1669"/>
      <c r="J242" s="1669"/>
      <c r="K242" s="1669"/>
      <c r="L242" s="1669"/>
      <c r="M242" s="1669"/>
      <c r="N242" s="1669"/>
      <c r="O242" s="1669"/>
      <c r="P242" s="1669"/>
      <c r="Q242" s="1669"/>
      <c r="R242" s="1669"/>
      <c r="S242" s="1669"/>
      <c r="T242" s="1669"/>
      <c r="U242" s="1669"/>
      <c r="V242" s="1669"/>
      <c r="W242" s="1669"/>
      <c r="X242" s="1669"/>
      <c r="Y242" s="1669"/>
      <c r="Z242" s="1669"/>
      <c r="AA242" s="1669"/>
      <c r="AB242" s="1669"/>
      <c r="AC242" s="1669"/>
      <c r="AD242" s="1668"/>
      <c r="AE242" s="1668"/>
      <c r="AF242" s="1668"/>
      <c r="AG242" s="1668"/>
      <c r="AH242" s="1668"/>
      <c r="AI242" s="1668"/>
    </row>
    <row r="243" spans="1:35">
      <c r="A243" s="1669"/>
      <c r="B243" s="1669"/>
      <c r="C243" s="1669"/>
      <c r="D243" s="1669"/>
      <c r="E243" s="1669"/>
      <c r="F243" s="1669"/>
      <c r="G243" s="1669"/>
      <c r="H243" s="1669"/>
      <c r="I243" s="1669"/>
      <c r="J243" s="1669"/>
      <c r="K243" s="1669"/>
      <c r="L243" s="1669"/>
      <c r="M243" s="1669"/>
      <c r="N243" s="1669"/>
      <c r="O243" s="1669"/>
      <c r="P243" s="1669"/>
      <c r="Q243" s="1669"/>
      <c r="R243" s="1669"/>
      <c r="S243" s="1669"/>
      <c r="T243" s="1669"/>
      <c r="U243" s="1669"/>
      <c r="V243" s="1669"/>
      <c r="W243" s="1669"/>
      <c r="X243" s="1669"/>
      <c r="Y243" s="1669"/>
      <c r="Z243" s="1669"/>
      <c r="AA243" s="1669"/>
      <c r="AB243" s="1669"/>
      <c r="AC243" s="1669"/>
      <c r="AD243" s="1668"/>
      <c r="AE243" s="1668"/>
      <c r="AF243" s="1668"/>
      <c r="AG243" s="1668"/>
      <c r="AH243" s="1668"/>
      <c r="AI243" s="1668"/>
    </row>
    <row r="244" spans="1:35">
      <c r="A244" s="1669"/>
      <c r="B244" s="1669"/>
      <c r="C244" s="1669"/>
      <c r="D244" s="1669"/>
      <c r="E244" s="1669"/>
      <c r="F244" s="1669"/>
      <c r="G244" s="1669"/>
      <c r="H244" s="1669"/>
      <c r="I244" s="1669"/>
      <c r="J244" s="1669"/>
      <c r="K244" s="1669"/>
      <c r="L244" s="1669"/>
      <c r="M244" s="1669"/>
      <c r="N244" s="1669"/>
      <c r="O244" s="1669"/>
      <c r="P244" s="1669"/>
      <c r="Q244" s="1669"/>
      <c r="R244" s="1669"/>
      <c r="S244" s="1669"/>
      <c r="T244" s="1669"/>
      <c r="U244" s="1669"/>
      <c r="V244" s="1669"/>
      <c r="W244" s="1669"/>
      <c r="X244" s="1669"/>
      <c r="Y244" s="1669"/>
      <c r="Z244" s="1669"/>
      <c r="AA244" s="1669"/>
      <c r="AB244" s="1669"/>
      <c r="AC244" s="1669"/>
      <c r="AD244" s="1668"/>
      <c r="AE244" s="1668"/>
      <c r="AF244" s="1668"/>
      <c r="AG244" s="1668"/>
      <c r="AH244" s="1668"/>
      <c r="AI244" s="1668"/>
    </row>
    <row r="245" spans="1:35">
      <c r="A245" s="1669"/>
      <c r="B245" s="1669"/>
      <c r="C245" s="1669"/>
      <c r="D245" s="1669"/>
      <c r="E245" s="1669"/>
      <c r="F245" s="1669"/>
      <c r="G245" s="1669"/>
      <c r="H245" s="1669"/>
      <c r="I245" s="1669"/>
      <c r="J245" s="1669"/>
      <c r="K245" s="1669"/>
      <c r="L245" s="1669"/>
      <c r="M245" s="1669"/>
      <c r="N245" s="1669"/>
      <c r="O245" s="1669"/>
      <c r="P245" s="1669"/>
      <c r="Q245" s="1669"/>
      <c r="R245" s="1669"/>
      <c r="S245" s="1669"/>
      <c r="T245" s="1669"/>
      <c r="U245" s="1669"/>
      <c r="V245" s="1669"/>
      <c r="W245" s="1669"/>
      <c r="X245" s="1669"/>
      <c r="Y245" s="1669"/>
      <c r="Z245" s="1669"/>
      <c r="AA245" s="1669"/>
      <c r="AB245" s="1669"/>
      <c r="AC245" s="1669"/>
      <c r="AD245" s="1668"/>
      <c r="AE245" s="1668"/>
      <c r="AF245" s="1668"/>
      <c r="AG245" s="1668"/>
      <c r="AH245" s="1668"/>
      <c r="AI245" s="1668"/>
    </row>
    <row r="246" spans="1:35">
      <c r="A246" s="1669"/>
      <c r="B246" s="1669"/>
      <c r="C246" s="1669"/>
      <c r="D246" s="1669"/>
      <c r="E246" s="1669"/>
      <c r="F246" s="1669"/>
      <c r="G246" s="1669"/>
      <c r="H246" s="1669"/>
      <c r="I246" s="1669"/>
      <c r="J246" s="1669"/>
      <c r="K246" s="1669"/>
      <c r="L246" s="1669"/>
      <c r="M246" s="1669"/>
      <c r="N246" s="1669"/>
      <c r="O246" s="1669"/>
      <c r="P246" s="1669"/>
      <c r="Q246" s="1669"/>
      <c r="R246" s="1669"/>
      <c r="S246" s="1669"/>
      <c r="T246" s="1669"/>
      <c r="U246" s="1669"/>
      <c r="V246" s="1669"/>
      <c r="W246" s="1669"/>
      <c r="X246" s="1669"/>
      <c r="Y246" s="1669"/>
      <c r="Z246" s="1669"/>
      <c r="AA246" s="1669"/>
      <c r="AB246" s="1669"/>
      <c r="AC246" s="1669"/>
      <c r="AD246" s="1668"/>
      <c r="AE246" s="1668"/>
      <c r="AF246" s="1668"/>
      <c r="AG246" s="1668"/>
      <c r="AH246" s="1668"/>
      <c r="AI246" s="1668"/>
    </row>
    <row r="247" spans="1:35">
      <c r="A247" s="1669"/>
      <c r="B247" s="1669"/>
      <c r="C247" s="1669"/>
      <c r="D247" s="1669"/>
      <c r="E247" s="1669"/>
      <c r="F247" s="1669"/>
      <c r="G247" s="1669"/>
      <c r="H247" s="1669"/>
      <c r="I247" s="1669"/>
      <c r="J247" s="1669"/>
      <c r="K247" s="1669"/>
      <c r="L247" s="1669"/>
      <c r="M247" s="1669"/>
      <c r="N247" s="1669"/>
      <c r="O247" s="1669"/>
      <c r="P247" s="1669"/>
      <c r="Q247" s="1669"/>
      <c r="R247" s="1669"/>
      <c r="S247" s="1669"/>
      <c r="T247" s="1669"/>
      <c r="U247" s="1669"/>
      <c r="V247" s="1669"/>
      <c r="W247" s="1669"/>
      <c r="X247" s="1669"/>
      <c r="Y247" s="1669"/>
      <c r="Z247" s="1669"/>
      <c r="AA247" s="1669"/>
      <c r="AB247" s="1669"/>
      <c r="AC247" s="1669"/>
      <c r="AD247" s="1668"/>
      <c r="AE247" s="1668"/>
      <c r="AF247" s="1668"/>
      <c r="AG247" s="1668"/>
      <c r="AH247" s="1668"/>
      <c r="AI247" s="1668"/>
    </row>
    <row r="248" spans="1:35">
      <c r="A248" s="1669"/>
      <c r="B248" s="1669"/>
      <c r="C248" s="1669"/>
      <c r="D248" s="1669"/>
      <c r="E248" s="1669"/>
      <c r="F248" s="1669"/>
      <c r="G248" s="1669"/>
      <c r="H248" s="1669"/>
      <c r="I248" s="1669"/>
      <c r="J248" s="1669"/>
      <c r="K248" s="1669"/>
      <c r="L248" s="1669"/>
      <c r="M248" s="1669"/>
      <c r="N248" s="1669"/>
      <c r="O248" s="1669"/>
      <c r="P248" s="1669"/>
      <c r="Q248" s="1669"/>
      <c r="R248" s="1669"/>
      <c r="S248" s="1669"/>
      <c r="T248" s="1669"/>
      <c r="U248" s="1669"/>
      <c r="V248" s="1669"/>
      <c r="W248" s="1669"/>
      <c r="X248" s="1669"/>
      <c r="Y248" s="1669"/>
      <c r="Z248" s="1669"/>
      <c r="AA248" s="1669"/>
      <c r="AB248" s="1669"/>
      <c r="AC248" s="1669"/>
      <c r="AD248" s="1668"/>
      <c r="AE248" s="1668"/>
      <c r="AF248" s="1668"/>
      <c r="AG248" s="1668"/>
      <c r="AH248" s="1668"/>
      <c r="AI248" s="1668"/>
    </row>
    <row r="249" spans="1:35">
      <c r="A249" s="1669"/>
      <c r="B249" s="1669"/>
      <c r="C249" s="1669"/>
      <c r="D249" s="1669"/>
      <c r="E249" s="1669"/>
      <c r="F249" s="1669"/>
      <c r="G249" s="1669"/>
      <c r="H249" s="1669"/>
      <c r="I249" s="1669"/>
      <c r="J249" s="1669"/>
      <c r="K249" s="1669"/>
      <c r="L249" s="1669"/>
      <c r="M249" s="1669"/>
      <c r="N249" s="1669"/>
      <c r="O249" s="1669"/>
      <c r="P249" s="1669"/>
      <c r="Q249" s="1669"/>
      <c r="R249" s="1669"/>
      <c r="S249" s="1669"/>
      <c r="T249" s="1669"/>
      <c r="U249" s="1669"/>
      <c r="V249" s="1669"/>
      <c r="W249" s="1669"/>
      <c r="X249" s="1669"/>
      <c r="Y249" s="1669"/>
      <c r="Z249" s="1669"/>
      <c r="AA249" s="1669"/>
      <c r="AB249" s="1669"/>
      <c r="AC249" s="1669"/>
      <c r="AD249" s="1668"/>
      <c r="AE249" s="1668"/>
      <c r="AF249" s="1668"/>
      <c r="AG249" s="1668"/>
      <c r="AH249" s="1668"/>
      <c r="AI249" s="1668"/>
    </row>
    <row r="250" spans="1:35">
      <c r="A250" s="1669"/>
      <c r="B250" s="1669"/>
      <c r="C250" s="1669"/>
      <c r="D250" s="1669"/>
      <c r="E250" s="1669"/>
      <c r="F250" s="1669"/>
      <c r="G250" s="1669"/>
      <c r="H250" s="1669"/>
      <c r="I250" s="1669"/>
      <c r="J250" s="1669"/>
      <c r="K250" s="1669"/>
      <c r="L250" s="1669"/>
      <c r="M250" s="1669"/>
      <c r="N250" s="1669"/>
      <c r="O250" s="1669"/>
      <c r="P250" s="1669"/>
      <c r="Q250" s="1669"/>
      <c r="R250" s="1669"/>
      <c r="S250" s="1669"/>
      <c r="T250" s="1669"/>
      <c r="U250" s="1669"/>
      <c r="V250" s="1669"/>
      <c r="W250" s="1669"/>
      <c r="X250" s="1669"/>
      <c r="Y250" s="1669"/>
      <c r="Z250" s="1669"/>
      <c r="AA250" s="1669"/>
      <c r="AB250" s="1669"/>
      <c r="AC250" s="1669"/>
      <c r="AD250" s="1668"/>
      <c r="AE250" s="1668"/>
      <c r="AF250" s="1668"/>
      <c r="AG250" s="1668"/>
      <c r="AH250" s="1668"/>
      <c r="AI250" s="1668"/>
    </row>
    <row r="251" spans="1:35">
      <c r="A251" s="1669"/>
      <c r="B251" s="1669"/>
      <c r="C251" s="1669"/>
      <c r="D251" s="1669"/>
      <c r="E251" s="1669"/>
      <c r="F251" s="1669"/>
      <c r="G251" s="1669"/>
      <c r="H251" s="1669"/>
      <c r="I251" s="1669"/>
      <c r="J251" s="1669"/>
      <c r="K251" s="1669"/>
      <c r="L251" s="1669"/>
      <c r="M251" s="1669"/>
      <c r="N251" s="1669"/>
      <c r="O251" s="1669"/>
      <c r="P251" s="1669"/>
      <c r="Q251" s="1669"/>
      <c r="R251" s="1669"/>
      <c r="S251" s="1669"/>
      <c r="T251" s="1669"/>
      <c r="U251" s="1669"/>
      <c r="V251" s="1669"/>
      <c r="W251" s="1669"/>
      <c r="X251" s="1669"/>
      <c r="Y251" s="1669"/>
      <c r="Z251" s="1669"/>
      <c r="AA251" s="1669"/>
      <c r="AB251" s="1669"/>
      <c r="AC251" s="1669"/>
      <c r="AD251" s="1668"/>
      <c r="AE251" s="1668"/>
      <c r="AF251" s="1668"/>
      <c r="AG251" s="1668"/>
      <c r="AH251" s="1668"/>
      <c r="AI251" s="1668"/>
    </row>
    <row r="252" spans="1:35">
      <c r="A252" s="1669"/>
      <c r="B252" s="1669"/>
      <c r="C252" s="1669"/>
      <c r="D252" s="1669"/>
      <c r="E252" s="1669"/>
      <c r="F252" s="1669"/>
      <c r="G252" s="1669"/>
      <c r="H252" s="1669"/>
      <c r="I252" s="1669"/>
      <c r="J252" s="1669"/>
      <c r="K252" s="1669"/>
      <c r="L252" s="1669"/>
      <c r="M252" s="1669"/>
      <c r="N252" s="1669"/>
      <c r="O252" s="1669"/>
      <c r="P252" s="1669"/>
      <c r="Q252" s="1669"/>
      <c r="R252" s="1669"/>
      <c r="S252" s="1669"/>
      <c r="T252" s="1669"/>
      <c r="U252" s="1669"/>
      <c r="V252" s="1669"/>
      <c r="W252" s="1669"/>
      <c r="X252" s="1669"/>
      <c r="Y252" s="1669"/>
      <c r="Z252" s="1669"/>
      <c r="AA252" s="1669"/>
      <c r="AB252" s="1669"/>
      <c r="AC252" s="1669"/>
      <c r="AD252" s="1668"/>
      <c r="AE252" s="1668"/>
      <c r="AF252" s="1668"/>
      <c r="AG252" s="1668"/>
      <c r="AH252" s="1668"/>
      <c r="AI252" s="1668"/>
    </row>
    <row r="253" spans="1:35">
      <c r="A253" s="1669"/>
      <c r="B253" s="1669"/>
      <c r="C253" s="1669"/>
      <c r="D253" s="1669"/>
      <c r="E253" s="1669"/>
      <c r="F253" s="1669"/>
      <c r="G253" s="1669"/>
      <c r="H253" s="1669"/>
      <c r="I253" s="1669"/>
      <c r="J253" s="1669"/>
      <c r="K253" s="1669"/>
      <c r="L253" s="1669"/>
      <c r="M253" s="1669"/>
      <c r="N253" s="1669"/>
      <c r="O253" s="1669"/>
      <c r="P253" s="1669"/>
      <c r="Q253" s="1669"/>
      <c r="R253" s="1669"/>
      <c r="S253" s="1669"/>
      <c r="T253" s="1669"/>
      <c r="U253" s="1669"/>
      <c r="V253" s="1669"/>
      <c r="W253" s="1669"/>
      <c r="X253" s="1669"/>
      <c r="Y253" s="1669"/>
      <c r="Z253" s="1669"/>
      <c r="AA253" s="1669"/>
      <c r="AB253" s="1669"/>
      <c r="AC253" s="1669"/>
      <c r="AD253" s="1668"/>
      <c r="AE253" s="1668"/>
      <c r="AF253" s="1668"/>
      <c r="AG253" s="1668"/>
      <c r="AH253" s="1668"/>
      <c r="AI253" s="1668"/>
    </row>
    <row r="254" spans="1:35">
      <c r="A254" s="1669"/>
      <c r="B254" s="1669"/>
      <c r="C254" s="1669"/>
      <c r="D254" s="1669"/>
      <c r="E254" s="1669"/>
      <c r="F254" s="1669"/>
      <c r="G254" s="1669"/>
      <c r="H254" s="1669"/>
      <c r="I254" s="1669"/>
      <c r="J254" s="1669"/>
      <c r="K254" s="1669"/>
      <c r="L254" s="1669"/>
      <c r="M254" s="1669"/>
      <c r="N254" s="1669"/>
      <c r="O254" s="1669"/>
      <c r="P254" s="1669"/>
      <c r="Q254" s="1669"/>
      <c r="R254" s="1669"/>
      <c r="S254" s="1669"/>
      <c r="T254" s="1669"/>
      <c r="U254" s="1669"/>
      <c r="V254" s="1669"/>
      <c r="W254" s="1669"/>
      <c r="X254" s="1669"/>
      <c r="Y254" s="1669"/>
      <c r="Z254" s="1669"/>
      <c r="AA254" s="1669"/>
      <c r="AB254" s="1669"/>
      <c r="AC254" s="1669"/>
      <c r="AD254" s="1668"/>
      <c r="AE254" s="1668"/>
      <c r="AF254" s="1668"/>
      <c r="AG254" s="1668"/>
      <c r="AH254" s="1668"/>
      <c r="AI254" s="1668"/>
    </row>
    <row r="255" spans="1:35">
      <c r="A255" s="1669"/>
      <c r="B255" s="1669"/>
      <c r="C255" s="1669"/>
      <c r="D255" s="1669"/>
      <c r="E255" s="1669"/>
      <c r="F255" s="1669"/>
      <c r="G255" s="1669"/>
      <c r="H255" s="1669"/>
      <c r="I255" s="1669"/>
      <c r="J255" s="1669"/>
      <c r="K255" s="1669"/>
      <c r="L255" s="1669"/>
      <c r="M255" s="1669"/>
      <c r="N255" s="1669"/>
      <c r="O255" s="1669"/>
      <c r="P255" s="1669"/>
      <c r="Q255" s="1669"/>
      <c r="R255" s="1669"/>
      <c r="S255" s="1669"/>
      <c r="T255" s="1669"/>
      <c r="U255" s="1669"/>
      <c r="V255" s="1669"/>
      <c r="W255" s="1669"/>
      <c r="X255" s="1669"/>
      <c r="Y255" s="1669"/>
      <c r="Z255" s="1669"/>
      <c r="AA255" s="1669"/>
      <c r="AB255" s="1669"/>
      <c r="AC255" s="1669"/>
      <c r="AD255" s="1668"/>
      <c r="AE255" s="1668"/>
      <c r="AF255" s="1668"/>
      <c r="AG255" s="1668"/>
      <c r="AH255" s="1668"/>
      <c r="AI255" s="1668"/>
    </row>
    <row r="256" spans="1:35">
      <c r="A256" s="1669"/>
      <c r="B256" s="1669"/>
      <c r="C256" s="1669"/>
      <c r="D256" s="1669"/>
      <c r="E256" s="1669"/>
      <c r="F256" s="1669"/>
      <c r="G256" s="1669"/>
      <c r="H256" s="1669"/>
      <c r="I256" s="1669"/>
      <c r="J256" s="1669"/>
      <c r="K256" s="1669"/>
      <c r="L256" s="1669"/>
      <c r="M256" s="1669"/>
      <c r="N256" s="1669"/>
      <c r="O256" s="1669"/>
      <c r="P256" s="1669"/>
      <c r="Q256" s="1669"/>
      <c r="R256" s="1669"/>
      <c r="S256" s="1669"/>
      <c r="T256" s="1669"/>
      <c r="U256" s="1669"/>
      <c r="V256" s="1669"/>
      <c r="W256" s="1669"/>
      <c r="X256" s="1669"/>
      <c r="Y256" s="1669"/>
      <c r="Z256" s="1669"/>
      <c r="AA256" s="1669"/>
      <c r="AB256" s="1669"/>
      <c r="AC256" s="1669"/>
      <c r="AD256" s="1668"/>
      <c r="AE256" s="1668"/>
      <c r="AF256" s="1668"/>
      <c r="AG256" s="1668"/>
      <c r="AH256" s="1668"/>
      <c r="AI256" s="1668"/>
    </row>
    <row r="257" spans="1:35">
      <c r="A257" s="1669"/>
      <c r="B257" s="1669"/>
      <c r="C257" s="1669"/>
      <c r="D257" s="1669"/>
      <c r="E257" s="1669"/>
      <c r="F257" s="1669"/>
      <c r="G257" s="1669"/>
      <c r="H257" s="1669"/>
      <c r="I257" s="1669"/>
      <c r="J257" s="1669"/>
      <c r="K257" s="1669"/>
      <c r="L257" s="1669"/>
      <c r="M257" s="1669"/>
      <c r="N257" s="1669"/>
      <c r="O257" s="1669"/>
      <c r="P257" s="1669"/>
      <c r="Q257" s="1669"/>
      <c r="R257" s="1669"/>
      <c r="S257" s="1669"/>
      <c r="T257" s="1669"/>
      <c r="U257" s="1669"/>
      <c r="V257" s="1669"/>
      <c r="W257" s="1669"/>
      <c r="X257" s="1669"/>
      <c r="Y257" s="1669"/>
      <c r="Z257" s="1669"/>
      <c r="AA257" s="1669"/>
      <c r="AB257" s="1669"/>
      <c r="AC257" s="1669"/>
      <c r="AD257" s="1668"/>
      <c r="AE257" s="1668"/>
      <c r="AF257" s="1668"/>
      <c r="AG257" s="1668"/>
      <c r="AH257" s="1668"/>
      <c r="AI257" s="1668"/>
    </row>
    <row r="258" spans="1:35">
      <c r="A258" s="1669"/>
      <c r="B258" s="1669"/>
      <c r="C258" s="1669"/>
      <c r="D258" s="1669"/>
      <c r="E258" s="1669"/>
      <c r="F258" s="1669"/>
      <c r="G258" s="1669"/>
      <c r="H258" s="1669"/>
      <c r="I258" s="1669"/>
      <c r="J258" s="1669"/>
      <c r="K258" s="1669"/>
      <c r="L258" s="1669"/>
      <c r="M258" s="1669"/>
      <c r="N258" s="1669"/>
      <c r="O258" s="1669"/>
      <c r="P258" s="1669"/>
      <c r="Q258" s="1669"/>
      <c r="R258" s="1669"/>
      <c r="S258" s="1669"/>
      <c r="T258" s="1669"/>
      <c r="U258" s="1669"/>
      <c r="V258" s="1669"/>
      <c r="W258" s="1669"/>
      <c r="X258" s="1669"/>
      <c r="Y258" s="1669"/>
      <c r="Z258" s="1669"/>
      <c r="AA258" s="1669"/>
      <c r="AB258" s="1669"/>
      <c r="AC258" s="1669"/>
      <c r="AD258" s="1668"/>
      <c r="AE258" s="1668"/>
      <c r="AF258" s="1668"/>
      <c r="AG258" s="1668"/>
      <c r="AH258" s="1668"/>
      <c r="AI258" s="1668"/>
    </row>
    <row r="259" spans="1:35">
      <c r="A259" s="1669"/>
      <c r="B259" s="1669"/>
      <c r="C259" s="1669"/>
      <c r="D259" s="1669"/>
      <c r="E259" s="1669"/>
      <c r="F259" s="1669"/>
      <c r="G259" s="1669"/>
      <c r="H259" s="1669"/>
      <c r="I259" s="1669"/>
      <c r="J259" s="1669"/>
      <c r="K259" s="1669"/>
      <c r="L259" s="1669"/>
      <c r="M259" s="1669"/>
      <c r="N259" s="1669"/>
      <c r="O259" s="1669"/>
      <c r="P259" s="1669"/>
      <c r="Q259" s="1669"/>
      <c r="R259" s="1669"/>
      <c r="S259" s="1669"/>
      <c r="T259" s="1669"/>
      <c r="U259" s="1669"/>
      <c r="V259" s="1669"/>
      <c r="W259" s="1669"/>
      <c r="X259" s="1669"/>
      <c r="Y259" s="1669"/>
      <c r="Z259" s="1669"/>
      <c r="AA259" s="1669"/>
      <c r="AB259" s="1669"/>
      <c r="AC259" s="1669"/>
      <c r="AD259" s="1668"/>
      <c r="AE259" s="1668"/>
      <c r="AF259" s="1668"/>
      <c r="AG259" s="1668"/>
      <c r="AH259" s="1668"/>
      <c r="AI259" s="1668"/>
    </row>
    <row r="260" spans="1:35">
      <c r="A260" s="1669"/>
      <c r="B260" s="1669"/>
      <c r="C260" s="1669"/>
      <c r="D260" s="1669"/>
      <c r="E260" s="1669"/>
      <c r="F260" s="1669"/>
      <c r="G260" s="1669"/>
      <c r="H260" s="1669"/>
      <c r="I260" s="1669"/>
      <c r="J260" s="1669"/>
      <c r="K260" s="1669"/>
      <c r="L260" s="1669"/>
      <c r="M260" s="1669"/>
      <c r="N260" s="1669"/>
      <c r="O260" s="1669"/>
      <c r="P260" s="1669"/>
      <c r="Q260" s="1669"/>
      <c r="R260" s="1669"/>
      <c r="S260" s="1669"/>
      <c r="T260" s="1669"/>
      <c r="U260" s="1669"/>
      <c r="V260" s="1669"/>
      <c r="W260" s="1669"/>
      <c r="X260" s="1669"/>
      <c r="Y260" s="1669"/>
      <c r="Z260" s="1669"/>
      <c r="AA260" s="1669"/>
      <c r="AB260" s="1669"/>
      <c r="AC260" s="1669"/>
      <c r="AD260" s="1668"/>
      <c r="AE260" s="1668"/>
      <c r="AF260" s="1668"/>
      <c r="AG260" s="1668"/>
      <c r="AH260" s="1668"/>
      <c r="AI260" s="1668"/>
    </row>
    <row r="261" spans="1:35">
      <c r="A261" s="1669"/>
      <c r="B261" s="1669"/>
      <c r="C261" s="1669"/>
      <c r="D261" s="1669"/>
      <c r="E261" s="1669"/>
      <c r="F261" s="1669"/>
      <c r="G261" s="1669"/>
      <c r="H261" s="1669"/>
      <c r="I261" s="1669"/>
      <c r="J261" s="1669"/>
      <c r="K261" s="1669"/>
      <c r="L261" s="1669"/>
      <c r="M261" s="1669"/>
      <c r="N261" s="1669"/>
      <c r="O261" s="1669"/>
      <c r="P261" s="1669"/>
      <c r="Q261" s="1669"/>
      <c r="R261" s="1669"/>
      <c r="S261" s="1669"/>
      <c r="T261" s="1669"/>
      <c r="U261" s="1669"/>
      <c r="V261" s="1669"/>
      <c r="W261" s="1669"/>
      <c r="X261" s="1669"/>
      <c r="Y261" s="1669"/>
      <c r="Z261" s="1669"/>
      <c r="AA261" s="1669"/>
      <c r="AB261" s="1669"/>
      <c r="AC261" s="1669"/>
      <c r="AD261" s="1668"/>
      <c r="AE261" s="1668"/>
      <c r="AF261" s="1668"/>
      <c r="AG261" s="1668"/>
      <c r="AH261" s="1668"/>
      <c r="AI261" s="1668"/>
    </row>
    <row r="262" spans="1:35">
      <c r="A262" s="1669"/>
      <c r="B262" s="1669"/>
      <c r="C262" s="1669"/>
      <c r="D262" s="1669"/>
      <c r="E262" s="1669"/>
      <c r="F262" s="1669"/>
      <c r="G262" s="1669"/>
      <c r="H262" s="1669"/>
      <c r="I262" s="1669"/>
      <c r="J262" s="1669"/>
      <c r="K262" s="1669"/>
      <c r="L262" s="1669"/>
      <c r="M262" s="1669"/>
      <c r="N262" s="1669"/>
      <c r="O262" s="1669"/>
      <c r="P262" s="1669"/>
      <c r="Q262" s="1669"/>
      <c r="R262" s="1669"/>
      <c r="S262" s="1669"/>
      <c r="T262" s="1669"/>
      <c r="U262" s="1669"/>
      <c r="V262" s="1669"/>
      <c r="W262" s="1669"/>
      <c r="X262" s="1669"/>
      <c r="Y262" s="1669"/>
      <c r="Z262" s="1669"/>
      <c r="AA262" s="1669"/>
      <c r="AB262" s="1669"/>
      <c r="AC262" s="1669"/>
      <c r="AD262" s="1668"/>
      <c r="AE262" s="1668"/>
      <c r="AF262" s="1668"/>
      <c r="AG262" s="1668"/>
      <c r="AH262" s="1668"/>
      <c r="AI262" s="1668"/>
    </row>
    <row r="263" spans="1:35">
      <c r="A263" s="1669"/>
      <c r="B263" s="1669"/>
      <c r="C263" s="1669"/>
      <c r="D263" s="1669"/>
      <c r="E263" s="1669"/>
      <c r="F263" s="1669"/>
      <c r="G263" s="1669"/>
      <c r="H263" s="1669"/>
      <c r="I263" s="1669"/>
      <c r="J263" s="1669"/>
      <c r="K263" s="1669"/>
      <c r="L263" s="1669"/>
      <c r="M263" s="1669"/>
      <c r="N263" s="1669"/>
      <c r="O263" s="1669"/>
      <c r="P263" s="1669"/>
      <c r="Q263" s="1669"/>
      <c r="R263" s="1669"/>
      <c r="S263" s="1669"/>
      <c r="T263" s="1669"/>
      <c r="U263" s="1669"/>
      <c r="V263" s="1669"/>
      <c r="W263" s="1669"/>
      <c r="X263" s="1669"/>
      <c r="Y263" s="1669"/>
      <c r="Z263" s="1669"/>
      <c r="AA263" s="1669"/>
      <c r="AB263" s="1669"/>
      <c r="AC263" s="1669"/>
      <c r="AD263" s="1668"/>
      <c r="AE263" s="1668"/>
      <c r="AF263" s="1668"/>
      <c r="AG263" s="1668"/>
      <c r="AH263" s="1668"/>
      <c r="AI263" s="1668"/>
    </row>
    <row r="264" spans="1:35">
      <c r="A264" s="1669"/>
      <c r="B264" s="1669"/>
      <c r="C264" s="1669"/>
      <c r="D264" s="1669"/>
      <c r="E264" s="1669"/>
      <c r="F264" s="1669"/>
      <c r="G264" s="1669"/>
      <c r="H264" s="1669"/>
      <c r="I264" s="1669"/>
      <c r="J264" s="1669"/>
      <c r="K264" s="1669"/>
      <c r="L264" s="1669"/>
      <c r="M264" s="1669"/>
      <c r="N264" s="1669"/>
      <c r="O264" s="1669"/>
      <c r="P264" s="1669"/>
      <c r="Q264" s="1669"/>
      <c r="R264" s="1669"/>
      <c r="S264" s="1669"/>
      <c r="T264" s="1669"/>
      <c r="U264" s="1669"/>
      <c r="V264" s="1669"/>
      <c r="W264" s="1669"/>
      <c r="X264" s="1669"/>
      <c r="Y264" s="1669"/>
      <c r="Z264" s="1669"/>
      <c r="AA264" s="1669"/>
      <c r="AB264" s="1669"/>
      <c r="AC264" s="1669"/>
      <c r="AD264" s="1668"/>
      <c r="AE264" s="1668"/>
      <c r="AF264" s="1668"/>
      <c r="AG264" s="1668"/>
      <c r="AH264" s="1668"/>
      <c r="AI264" s="1668"/>
    </row>
    <row r="265" spans="1:35">
      <c r="A265" s="1669"/>
      <c r="B265" s="1669"/>
      <c r="C265" s="1669"/>
      <c r="D265" s="1669"/>
      <c r="E265" s="1669"/>
      <c r="F265" s="1669"/>
      <c r="G265" s="1669"/>
      <c r="H265" s="1669"/>
      <c r="I265" s="1669"/>
      <c r="J265" s="1669"/>
      <c r="K265" s="1669"/>
      <c r="L265" s="1669"/>
      <c r="M265" s="1669"/>
      <c r="N265" s="1669"/>
      <c r="O265" s="1669"/>
      <c r="P265" s="1669"/>
      <c r="Q265" s="1669"/>
      <c r="R265" s="1669"/>
      <c r="S265" s="1669"/>
      <c r="T265" s="1669"/>
      <c r="U265" s="1669"/>
      <c r="V265" s="1669"/>
      <c r="W265" s="1669"/>
      <c r="X265" s="1669"/>
      <c r="Y265" s="1669"/>
      <c r="Z265" s="1669"/>
      <c r="AA265" s="1669"/>
      <c r="AB265" s="1669"/>
      <c r="AC265" s="1669"/>
      <c r="AD265" s="1668"/>
      <c r="AE265" s="1668"/>
      <c r="AF265" s="1668"/>
      <c r="AG265" s="1668"/>
      <c r="AH265" s="1668"/>
      <c r="AI265" s="1668"/>
    </row>
    <row r="266" spans="1:35">
      <c r="A266" s="1669"/>
      <c r="B266" s="1669"/>
      <c r="C266" s="1669"/>
      <c r="D266" s="1669"/>
      <c r="E266" s="1669"/>
      <c r="F266" s="1669"/>
      <c r="G266" s="1669"/>
      <c r="H266" s="1669"/>
      <c r="I266" s="1669"/>
      <c r="J266" s="1669"/>
      <c r="K266" s="1669"/>
      <c r="L266" s="1669"/>
      <c r="M266" s="1669"/>
      <c r="N266" s="1669"/>
      <c r="O266" s="1669"/>
      <c r="P266" s="1669"/>
      <c r="Q266" s="1669"/>
      <c r="R266" s="1669"/>
      <c r="S266" s="1669"/>
      <c r="T266" s="1669"/>
      <c r="U266" s="1669"/>
      <c r="V266" s="1669"/>
      <c r="W266" s="1669"/>
      <c r="X266" s="1669"/>
      <c r="Y266" s="1669"/>
      <c r="Z266" s="1669"/>
      <c r="AA266" s="1669"/>
      <c r="AB266" s="1669"/>
      <c r="AC266" s="1669"/>
      <c r="AD266" s="1668"/>
      <c r="AE266" s="1668"/>
      <c r="AF266" s="1668"/>
      <c r="AG266" s="1668"/>
      <c r="AH266" s="1668"/>
      <c r="AI266" s="1668"/>
    </row>
    <row r="267" spans="1:35">
      <c r="A267" s="1669"/>
      <c r="B267" s="1669"/>
      <c r="C267" s="1669"/>
      <c r="D267" s="1669"/>
      <c r="E267" s="1669"/>
      <c r="F267" s="1669"/>
      <c r="G267" s="1669"/>
      <c r="H267" s="1669"/>
      <c r="I267" s="1669"/>
      <c r="J267" s="1669"/>
      <c r="K267" s="1669"/>
      <c r="L267" s="1669"/>
      <c r="M267" s="1669"/>
      <c r="N267" s="1669"/>
      <c r="O267" s="1669"/>
      <c r="P267" s="1669"/>
      <c r="Q267" s="1669"/>
      <c r="R267" s="1669"/>
      <c r="S267" s="1669"/>
      <c r="T267" s="1669"/>
      <c r="U267" s="1669"/>
      <c r="V267" s="1669"/>
      <c r="W267" s="1669"/>
      <c r="X267" s="1669"/>
      <c r="Y267" s="1669"/>
      <c r="Z267" s="1669"/>
      <c r="AA267" s="1669"/>
      <c r="AB267" s="1669"/>
      <c r="AC267" s="1669"/>
      <c r="AD267" s="1668"/>
      <c r="AE267" s="1668"/>
      <c r="AF267" s="1668"/>
      <c r="AG267" s="1668"/>
      <c r="AH267" s="1668"/>
      <c r="AI267" s="1668"/>
    </row>
    <row r="268" spans="1:35">
      <c r="A268" s="1669"/>
      <c r="B268" s="1669"/>
      <c r="C268" s="1669"/>
      <c r="D268" s="1669"/>
      <c r="E268" s="1669"/>
      <c r="F268" s="1669"/>
      <c r="G268" s="1669"/>
      <c r="H268" s="1669"/>
      <c r="I268" s="1669"/>
      <c r="J268" s="1669"/>
      <c r="K268" s="1669"/>
      <c r="L268" s="1669"/>
      <c r="M268" s="1669"/>
      <c r="N268" s="1669"/>
      <c r="O268" s="1669"/>
      <c r="P268" s="1669"/>
      <c r="Q268" s="1669"/>
      <c r="R268" s="1669"/>
      <c r="S268" s="1669"/>
      <c r="T268" s="1669"/>
      <c r="U268" s="1669"/>
      <c r="V268" s="1669"/>
      <c r="W268" s="1669"/>
      <c r="X268" s="1669"/>
      <c r="Y268" s="1669"/>
      <c r="Z268" s="1669"/>
      <c r="AA268" s="1669"/>
      <c r="AB268" s="1669"/>
      <c r="AC268" s="1669"/>
      <c r="AD268" s="1668"/>
      <c r="AE268" s="1668"/>
      <c r="AF268" s="1668"/>
      <c r="AG268" s="1668"/>
      <c r="AH268" s="1668"/>
      <c r="AI268" s="1668"/>
    </row>
    <row r="269" spans="1:35">
      <c r="A269" s="1669"/>
      <c r="B269" s="1669"/>
      <c r="C269" s="1669"/>
      <c r="D269" s="1669"/>
      <c r="E269" s="1669"/>
      <c r="F269" s="1669"/>
      <c r="G269" s="1669"/>
      <c r="H269" s="1669"/>
      <c r="I269" s="1669"/>
      <c r="J269" s="1669"/>
      <c r="K269" s="1669"/>
      <c r="L269" s="1669"/>
      <c r="M269" s="1669"/>
      <c r="N269" s="1669"/>
      <c r="O269" s="1669"/>
      <c r="P269" s="1669"/>
      <c r="Q269" s="1669"/>
      <c r="R269" s="1669"/>
      <c r="S269" s="1669"/>
      <c r="T269" s="1669"/>
      <c r="U269" s="1669"/>
      <c r="V269" s="1669"/>
      <c r="W269" s="1669"/>
      <c r="X269" s="1669"/>
      <c r="Y269" s="1669"/>
      <c r="Z269" s="1669"/>
      <c r="AA269" s="1669"/>
      <c r="AB269" s="1669"/>
      <c r="AC269" s="1669"/>
      <c r="AD269" s="1668"/>
      <c r="AE269" s="1668"/>
      <c r="AF269" s="1668"/>
      <c r="AG269" s="1668"/>
      <c r="AH269" s="1668"/>
      <c r="AI269" s="1668"/>
    </row>
    <row r="270" spans="1:35">
      <c r="A270" s="1669"/>
      <c r="B270" s="1669"/>
      <c r="C270" s="1669"/>
      <c r="D270" s="1669"/>
      <c r="E270" s="1669"/>
      <c r="F270" s="1669"/>
      <c r="G270" s="1669"/>
      <c r="H270" s="1669"/>
      <c r="I270" s="1669"/>
      <c r="J270" s="1669"/>
      <c r="K270" s="1669"/>
      <c r="L270" s="1669"/>
      <c r="M270" s="1669"/>
      <c r="N270" s="1669"/>
      <c r="O270" s="1669"/>
      <c r="P270" s="1669"/>
      <c r="Q270" s="1669"/>
      <c r="R270" s="1669"/>
      <c r="S270" s="1669"/>
      <c r="T270" s="1669"/>
      <c r="U270" s="1669"/>
      <c r="V270" s="1669"/>
      <c r="W270" s="1669"/>
      <c r="X270" s="1669"/>
      <c r="Y270" s="1669"/>
      <c r="Z270" s="1669"/>
      <c r="AA270" s="1669"/>
      <c r="AB270" s="1669"/>
      <c r="AC270" s="1669"/>
      <c r="AD270" s="1668"/>
      <c r="AE270" s="1668"/>
      <c r="AF270" s="1668"/>
      <c r="AG270" s="1668"/>
      <c r="AH270" s="1668"/>
      <c r="AI270" s="1668"/>
    </row>
    <row r="271" spans="1:35">
      <c r="A271" s="1669"/>
      <c r="B271" s="1669"/>
      <c r="C271" s="1669"/>
      <c r="D271" s="1669"/>
      <c r="E271" s="1669"/>
      <c r="F271" s="1669"/>
      <c r="G271" s="1669"/>
      <c r="H271" s="1669"/>
      <c r="I271" s="1669"/>
      <c r="J271" s="1669"/>
      <c r="K271" s="1669"/>
      <c r="L271" s="1669"/>
      <c r="M271" s="1669"/>
      <c r="N271" s="1669"/>
      <c r="O271" s="1669"/>
      <c r="P271" s="1669"/>
      <c r="Q271" s="1669"/>
      <c r="R271" s="1669"/>
      <c r="S271" s="1669"/>
      <c r="T271" s="1669"/>
      <c r="U271" s="1669"/>
      <c r="V271" s="1669"/>
      <c r="W271" s="1669"/>
      <c r="X271" s="1669"/>
      <c r="Y271" s="1669"/>
      <c r="Z271" s="1669"/>
      <c r="AA271" s="1669"/>
      <c r="AB271" s="1669"/>
      <c r="AC271" s="1669"/>
      <c r="AD271" s="1668"/>
      <c r="AE271" s="1668"/>
      <c r="AF271" s="1668"/>
      <c r="AG271" s="1668"/>
      <c r="AH271" s="1668"/>
      <c r="AI271" s="1668"/>
    </row>
    <row r="272" spans="1:35">
      <c r="A272" s="1669"/>
      <c r="B272" s="1669"/>
      <c r="C272" s="1669"/>
      <c r="D272" s="1669"/>
      <c r="E272" s="1669"/>
      <c r="F272" s="1669"/>
      <c r="G272" s="1669"/>
      <c r="H272" s="1669"/>
      <c r="I272" s="1669"/>
      <c r="J272" s="1669"/>
      <c r="K272" s="1669"/>
      <c r="L272" s="1669"/>
      <c r="M272" s="1669"/>
      <c r="N272" s="1669"/>
      <c r="O272" s="1669"/>
      <c r="P272" s="1669"/>
      <c r="Q272" s="1669"/>
      <c r="R272" s="1669"/>
      <c r="S272" s="1669"/>
      <c r="T272" s="1669"/>
      <c r="U272" s="1669"/>
      <c r="V272" s="1669"/>
      <c r="W272" s="1669"/>
      <c r="X272" s="1669"/>
      <c r="Y272" s="1669"/>
      <c r="Z272" s="1669"/>
      <c r="AA272" s="1669"/>
      <c r="AB272" s="1669"/>
      <c r="AC272" s="1669"/>
      <c r="AD272" s="1668"/>
      <c r="AE272" s="1668"/>
      <c r="AF272" s="1668"/>
      <c r="AG272" s="1668"/>
      <c r="AH272" s="1668"/>
      <c r="AI272" s="1668"/>
    </row>
    <row r="273" spans="1:35">
      <c r="A273" s="1669"/>
      <c r="B273" s="1669"/>
      <c r="C273" s="1669"/>
      <c r="D273" s="1669"/>
      <c r="E273" s="1669"/>
      <c r="F273" s="1669"/>
      <c r="G273" s="1669"/>
      <c r="H273" s="1669"/>
      <c r="I273" s="1669"/>
      <c r="J273" s="1669"/>
      <c r="K273" s="1669"/>
      <c r="L273" s="1669"/>
      <c r="M273" s="1669"/>
      <c r="N273" s="1669"/>
      <c r="O273" s="1669"/>
      <c r="P273" s="1669"/>
      <c r="Q273" s="1669"/>
      <c r="R273" s="1669"/>
      <c r="S273" s="1669"/>
      <c r="T273" s="1669"/>
      <c r="U273" s="1669"/>
      <c r="V273" s="1669"/>
      <c r="W273" s="1669"/>
      <c r="X273" s="1669"/>
      <c r="Y273" s="1669"/>
      <c r="Z273" s="1669"/>
      <c r="AA273" s="1669"/>
      <c r="AB273" s="1669"/>
      <c r="AC273" s="1669"/>
      <c r="AD273" s="1668"/>
      <c r="AE273" s="1668"/>
      <c r="AF273" s="1668"/>
      <c r="AG273" s="1668"/>
      <c r="AH273" s="1668"/>
      <c r="AI273" s="1668"/>
    </row>
    <row r="274" spans="1:35">
      <c r="A274" s="1669"/>
      <c r="B274" s="1669"/>
      <c r="C274" s="1669"/>
      <c r="D274" s="1669"/>
      <c r="E274" s="1669"/>
      <c r="F274" s="1669"/>
      <c r="G274" s="1669"/>
      <c r="H274" s="1669"/>
      <c r="I274" s="1669"/>
      <c r="J274" s="1669"/>
      <c r="K274" s="1669"/>
      <c r="L274" s="1669"/>
      <c r="M274" s="1669"/>
      <c r="N274" s="1669"/>
      <c r="O274" s="1669"/>
      <c r="P274" s="1669"/>
      <c r="Q274" s="1669"/>
      <c r="R274" s="1669"/>
      <c r="S274" s="1669"/>
      <c r="T274" s="1669"/>
      <c r="U274" s="1669"/>
      <c r="V274" s="1669"/>
      <c r="W274" s="1669"/>
      <c r="X274" s="1669"/>
      <c r="Y274" s="1669"/>
      <c r="Z274" s="1669"/>
      <c r="AA274" s="1669"/>
      <c r="AB274" s="1669"/>
      <c r="AC274" s="1669"/>
      <c r="AD274" s="1668"/>
      <c r="AE274" s="1668"/>
      <c r="AF274" s="1668"/>
      <c r="AG274" s="1668"/>
      <c r="AH274" s="1668"/>
      <c r="AI274" s="1668"/>
    </row>
    <row r="275" spans="1:35">
      <c r="A275" s="1669"/>
      <c r="B275" s="1669"/>
      <c r="C275" s="1669"/>
      <c r="D275" s="1669"/>
      <c r="E275" s="1669"/>
      <c r="F275" s="1669"/>
      <c r="G275" s="1669"/>
      <c r="H275" s="1669"/>
      <c r="I275" s="1669"/>
      <c r="J275" s="1669"/>
      <c r="K275" s="1669"/>
      <c r="L275" s="1669"/>
      <c r="M275" s="1669"/>
      <c r="N275" s="1669"/>
      <c r="O275" s="1669"/>
      <c r="P275" s="1669"/>
      <c r="Q275" s="1669"/>
      <c r="R275" s="1669"/>
      <c r="S275" s="1669"/>
      <c r="T275" s="1669"/>
      <c r="U275" s="1669"/>
      <c r="V275" s="1669"/>
      <c r="W275" s="1669"/>
      <c r="X275" s="1669"/>
      <c r="Y275" s="1669"/>
      <c r="Z275" s="1669"/>
      <c r="AA275" s="1669"/>
      <c r="AB275" s="1669"/>
      <c r="AC275" s="1669"/>
      <c r="AD275" s="1668"/>
      <c r="AE275" s="1668"/>
      <c r="AF275" s="1668"/>
      <c r="AG275" s="1668"/>
      <c r="AH275" s="1668"/>
      <c r="AI275" s="1668"/>
    </row>
    <row r="276" spans="1:35">
      <c r="A276" s="1669"/>
      <c r="B276" s="1669"/>
      <c r="C276" s="1669"/>
      <c r="D276" s="1669"/>
      <c r="E276" s="1669"/>
      <c r="F276" s="1669"/>
      <c r="G276" s="1669"/>
      <c r="H276" s="1669"/>
      <c r="I276" s="1669"/>
      <c r="J276" s="1669"/>
      <c r="K276" s="1669"/>
      <c r="L276" s="1669"/>
      <c r="M276" s="1669"/>
      <c r="N276" s="1669"/>
      <c r="O276" s="1669"/>
      <c r="P276" s="1669"/>
      <c r="Q276" s="1669"/>
      <c r="R276" s="1669"/>
      <c r="S276" s="1669"/>
      <c r="T276" s="1669"/>
      <c r="U276" s="1669"/>
      <c r="V276" s="1669"/>
      <c r="W276" s="1669"/>
      <c r="X276" s="1669"/>
      <c r="Y276" s="1669"/>
      <c r="Z276" s="1669"/>
      <c r="AA276" s="1669"/>
      <c r="AB276" s="1669"/>
      <c r="AC276" s="1669"/>
      <c r="AD276" s="1668"/>
      <c r="AE276" s="1668"/>
      <c r="AF276" s="1668"/>
      <c r="AG276" s="1668"/>
      <c r="AH276" s="1668"/>
      <c r="AI276" s="1668"/>
    </row>
    <row r="277" spans="1:35">
      <c r="A277" s="1669"/>
      <c r="B277" s="1669"/>
      <c r="C277" s="1669"/>
      <c r="D277" s="1669"/>
      <c r="E277" s="1669"/>
      <c r="F277" s="1669"/>
      <c r="G277" s="1669"/>
      <c r="H277" s="1669"/>
      <c r="I277" s="1669"/>
      <c r="J277" s="1669"/>
      <c r="K277" s="1669"/>
      <c r="L277" s="1669"/>
      <c r="M277" s="1669"/>
      <c r="N277" s="1669"/>
      <c r="O277" s="1669"/>
      <c r="P277" s="1669"/>
      <c r="Q277" s="1669"/>
      <c r="R277" s="1669"/>
      <c r="S277" s="1669"/>
      <c r="T277" s="1669"/>
      <c r="U277" s="1669"/>
      <c r="V277" s="1669"/>
      <c r="W277" s="1669"/>
      <c r="X277" s="1669"/>
      <c r="Y277" s="1669"/>
      <c r="Z277" s="1669"/>
      <c r="AA277" s="1669"/>
      <c r="AB277" s="1669"/>
      <c r="AC277" s="1669"/>
      <c r="AD277" s="1668"/>
      <c r="AE277" s="1668"/>
      <c r="AF277" s="1668"/>
      <c r="AG277" s="1668"/>
      <c r="AH277" s="1668"/>
      <c r="AI277" s="1668"/>
    </row>
    <row r="278" spans="1:35">
      <c r="A278" s="1669"/>
      <c r="B278" s="1669"/>
      <c r="C278" s="1669"/>
      <c r="D278" s="1669"/>
      <c r="E278" s="1669"/>
      <c r="F278" s="1669"/>
      <c r="G278" s="1669"/>
      <c r="H278" s="1669"/>
      <c r="I278" s="1669"/>
      <c r="J278" s="1669"/>
      <c r="K278" s="1669"/>
      <c r="L278" s="1669"/>
      <c r="M278" s="1669"/>
      <c r="N278" s="1669"/>
      <c r="O278" s="1669"/>
      <c r="P278" s="1669"/>
      <c r="Q278" s="1669"/>
      <c r="R278" s="1669"/>
      <c r="S278" s="1669"/>
      <c r="T278" s="1669"/>
      <c r="U278" s="1669"/>
      <c r="V278" s="1669"/>
      <c r="W278" s="1669"/>
      <c r="X278" s="1669"/>
      <c r="Y278" s="1669"/>
      <c r="Z278" s="1669"/>
      <c r="AA278" s="1669"/>
      <c r="AB278" s="1669"/>
      <c r="AC278" s="1669"/>
      <c r="AD278" s="1668"/>
      <c r="AE278" s="1668"/>
      <c r="AF278" s="1668"/>
      <c r="AG278" s="1668"/>
      <c r="AH278" s="1668"/>
      <c r="AI278" s="1668"/>
    </row>
    <row r="279" spans="1:35">
      <c r="A279" s="1669"/>
      <c r="B279" s="1669"/>
      <c r="C279" s="1669"/>
      <c r="D279" s="1669"/>
      <c r="E279" s="1669"/>
      <c r="F279" s="1669"/>
      <c r="G279" s="1669"/>
      <c r="H279" s="1669"/>
      <c r="I279" s="1669"/>
      <c r="J279" s="1669"/>
      <c r="K279" s="1669"/>
      <c r="L279" s="1669"/>
      <c r="M279" s="1669"/>
      <c r="N279" s="1669"/>
      <c r="O279" s="1669"/>
      <c r="P279" s="1669"/>
      <c r="Q279" s="1669"/>
      <c r="R279" s="1669"/>
      <c r="S279" s="1669"/>
      <c r="T279" s="1669"/>
      <c r="U279" s="1669"/>
      <c r="V279" s="1669"/>
      <c r="W279" s="1669"/>
      <c r="X279" s="1669"/>
      <c r="Y279" s="1669"/>
      <c r="Z279" s="1669"/>
      <c r="AA279" s="1669"/>
      <c r="AB279" s="1669"/>
      <c r="AC279" s="1669"/>
      <c r="AD279" s="1668"/>
      <c r="AE279" s="1668"/>
      <c r="AF279" s="1668"/>
      <c r="AG279" s="1668"/>
      <c r="AH279" s="1668"/>
      <c r="AI279" s="1668"/>
    </row>
    <row r="280" spans="1:35">
      <c r="A280" s="1669"/>
      <c r="B280" s="1669"/>
      <c r="C280" s="1669"/>
      <c r="D280" s="1669"/>
      <c r="E280" s="1669"/>
      <c r="F280" s="1669"/>
      <c r="G280" s="1669"/>
      <c r="H280" s="1669"/>
      <c r="I280" s="1669"/>
      <c r="J280" s="1669"/>
      <c r="K280" s="1669"/>
      <c r="L280" s="1669"/>
      <c r="M280" s="1669"/>
      <c r="N280" s="1669"/>
      <c r="O280" s="1669"/>
      <c r="P280" s="1669"/>
      <c r="Q280" s="1669"/>
      <c r="R280" s="1669"/>
      <c r="S280" s="1669"/>
      <c r="T280" s="1669"/>
      <c r="U280" s="1669"/>
      <c r="V280" s="1669"/>
      <c r="W280" s="1669"/>
      <c r="X280" s="1669"/>
      <c r="Y280" s="1669"/>
      <c r="Z280" s="1669"/>
      <c r="AA280" s="1669"/>
      <c r="AB280" s="1669"/>
      <c r="AC280" s="1669"/>
      <c r="AD280" s="1668"/>
      <c r="AE280" s="1668"/>
      <c r="AF280" s="1668"/>
      <c r="AG280" s="1668"/>
      <c r="AH280" s="1668"/>
      <c r="AI280" s="1668"/>
    </row>
    <row r="281" spans="1:35">
      <c r="A281" s="1669"/>
      <c r="B281" s="1669"/>
      <c r="C281" s="1669"/>
      <c r="D281" s="1669"/>
      <c r="E281" s="1669"/>
      <c r="F281" s="1669"/>
      <c r="G281" s="1669"/>
      <c r="H281" s="1669"/>
      <c r="I281" s="1669"/>
      <c r="J281" s="1669"/>
      <c r="K281" s="1669"/>
      <c r="L281" s="1669"/>
      <c r="M281" s="1669"/>
      <c r="N281" s="1669"/>
      <c r="O281" s="1669"/>
      <c r="P281" s="1669"/>
      <c r="Q281" s="1669"/>
      <c r="R281" s="1669"/>
      <c r="S281" s="1669"/>
      <c r="T281" s="1669"/>
      <c r="U281" s="1669"/>
      <c r="V281" s="1669"/>
      <c r="W281" s="1669"/>
      <c r="X281" s="1669"/>
      <c r="Y281" s="1669"/>
      <c r="Z281" s="1669"/>
      <c r="AA281" s="1669"/>
      <c r="AB281" s="1669"/>
      <c r="AC281" s="1669"/>
      <c r="AD281" s="1668"/>
      <c r="AE281" s="1668"/>
      <c r="AF281" s="1668"/>
      <c r="AG281" s="1668"/>
      <c r="AH281" s="1668"/>
      <c r="AI281" s="1668"/>
    </row>
    <row r="282" spans="1:35">
      <c r="A282" s="1669"/>
      <c r="B282" s="1669"/>
      <c r="C282" s="1669"/>
      <c r="D282" s="1669"/>
      <c r="E282" s="1669"/>
      <c r="F282" s="1669"/>
      <c r="G282" s="1669"/>
      <c r="H282" s="1669"/>
      <c r="I282" s="1669"/>
      <c r="J282" s="1669"/>
      <c r="K282" s="1669"/>
      <c r="L282" s="1669"/>
      <c r="M282" s="1669"/>
      <c r="N282" s="1669"/>
      <c r="O282" s="1669"/>
      <c r="P282" s="1669"/>
      <c r="Q282" s="1669"/>
      <c r="R282" s="1669"/>
      <c r="S282" s="1669"/>
      <c r="T282" s="1669"/>
      <c r="U282" s="1669"/>
      <c r="V282" s="1669"/>
      <c r="W282" s="1669"/>
      <c r="X282" s="1669"/>
      <c r="Y282" s="1669"/>
      <c r="Z282" s="1669"/>
      <c r="AA282" s="1669"/>
      <c r="AB282" s="1669"/>
      <c r="AC282" s="1669"/>
      <c r="AD282" s="1668"/>
      <c r="AE282" s="1668"/>
      <c r="AF282" s="1668"/>
      <c r="AG282" s="1668"/>
      <c r="AH282" s="1668"/>
      <c r="AI282" s="1668"/>
    </row>
    <row r="283" spans="1:35">
      <c r="A283" s="1669"/>
      <c r="B283" s="1669"/>
      <c r="C283" s="1669"/>
      <c r="D283" s="1669"/>
      <c r="E283" s="1669"/>
      <c r="F283" s="1669"/>
      <c r="G283" s="1669"/>
      <c r="H283" s="1669"/>
      <c r="I283" s="1669"/>
      <c r="J283" s="1669"/>
      <c r="K283" s="1669"/>
      <c r="L283" s="1669"/>
      <c r="M283" s="1669"/>
      <c r="N283" s="1669"/>
      <c r="O283" s="1669"/>
      <c r="P283" s="1669"/>
      <c r="Q283" s="1669"/>
      <c r="R283" s="1669"/>
      <c r="S283" s="1669"/>
      <c r="T283" s="1669"/>
      <c r="U283" s="1669"/>
      <c r="V283" s="1669"/>
      <c r="W283" s="1669"/>
      <c r="X283" s="1669"/>
      <c r="Y283" s="1669"/>
      <c r="Z283" s="1669"/>
      <c r="AA283" s="1669"/>
      <c r="AB283" s="1669"/>
      <c r="AC283" s="1669"/>
      <c r="AD283" s="1668"/>
      <c r="AE283" s="1668"/>
      <c r="AF283" s="1668"/>
      <c r="AG283" s="1668"/>
      <c r="AH283" s="1668"/>
      <c r="AI283" s="1668"/>
    </row>
    <row r="284" spans="1:35">
      <c r="A284" s="1669"/>
      <c r="B284" s="1669"/>
      <c r="C284" s="1669"/>
      <c r="D284" s="1669"/>
      <c r="E284" s="1669"/>
      <c r="F284" s="1669"/>
      <c r="G284" s="1669"/>
      <c r="H284" s="1669"/>
      <c r="I284" s="1669"/>
      <c r="J284" s="1669"/>
      <c r="K284" s="1669"/>
      <c r="L284" s="1669"/>
      <c r="M284" s="1669"/>
      <c r="N284" s="1669"/>
      <c r="O284" s="1669"/>
      <c r="P284" s="1669"/>
      <c r="Q284" s="1669"/>
      <c r="R284" s="1669"/>
      <c r="S284" s="1669"/>
      <c r="T284" s="1669"/>
      <c r="U284" s="1669"/>
      <c r="V284" s="1669"/>
      <c r="W284" s="1669"/>
      <c r="X284" s="1669"/>
      <c r="Y284" s="1669"/>
      <c r="Z284" s="1669"/>
      <c r="AA284" s="1669"/>
      <c r="AB284" s="1669"/>
      <c r="AC284" s="1669"/>
      <c r="AD284" s="1668"/>
      <c r="AE284" s="1668"/>
      <c r="AF284" s="1668"/>
      <c r="AG284" s="1668"/>
      <c r="AH284" s="1668"/>
      <c r="AI284" s="1668"/>
    </row>
    <row r="285" spans="1:35">
      <c r="A285" s="1669"/>
      <c r="B285" s="1669"/>
      <c r="C285" s="1669"/>
      <c r="D285" s="1669"/>
      <c r="E285" s="1669"/>
      <c r="F285" s="1669"/>
      <c r="G285" s="1669"/>
      <c r="H285" s="1669"/>
      <c r="I285" s="1669"/>
      <c r="J285" s="1669"/>
      <c r="K285" s="1669"/>
      <c r="L285" s="1669"/>
      <c r="M285" s="1669"/>
      <c r="N285" s="1669"/>
      <c r="O285" s="1669"/>
      <c r="P285" s="1669"/>
      <c r="Q285" s="1669"/>
      <c r="R285" s="1669"/>
      <c r="S285" s="1669"/>
      <c r="T285" s="1669"/>
      <c r="U285" s="1669"/>
      <c r="V285" s="1669"/>
      <c r="W285" s="1669"/>
      <c r="X285" s="1669"/>
      <c r="Y285" s="1669"/>
      <c r="Z285" s="1669"/>
      <c r="AA285" s="1669"/>
      <c r="AB285" s="1669"/>
      <c r="AC285" s="1669"/>
      <c r="AD285" s="1668"/>
      <c r="AE285" s="1668"/>
      <c r="AF285" s="1668"/>
      <c r="AG285" s="1668"/>
      <c r="AH285" s="1668"/>
      <c r="AI285" s="1668"/>
    </row>
    <row r="286" spans="1:35">
      <c r="A286" s="1669"/>
      <c r="B286" s="1669"/>
      <c r="C286" s="1669"/>
      <c r="D286" s="1669"/>
      <c r="E286" s="1669"/>
      <c r="F286" s="1669"/>
      <c r="G286" s="1669"/>
      <c r="H286" s="1669"/>
      <c r="I286" s="1669"/>
      <c r="J286" s="1669"/>
      <c r="K286" s="1669"/>
      <c r="L286" s="1669"/>
      <c r="M286" s="1669"/>
      <c r="N286" s="1669"/>
      <c r="O286" s="1669"/>
      <c r="P286" s="1669"/>
      <c r="Q286" s="1669"/>
      <c r="R286" s="1669"/>
      <c r="S286" s="1669"/>
      <c r="T286" s="1669"/>
      <c r="U286" s="1669"/>
      <c r="V286" s="1669"/>
      <c r="W286" s="1669"/>
      <c r="X286" s="1669"/>
      <c r="Y286" s="1669"/>
      <c r="Z286" s="1669"/>
      <c r="AA286" s="1669"/>
      <c r="AB286" s="1669"/>
      <c r="AC286" s="1669"/>
      <c r="AD286" s="1668"/>
      <c r="AE286" s="1668"/>
      <c r="AF286" s="1668"/>
      <c r="AG286" s="1668"/>
      <c r="AH286" s="1668"/>
      <c r="AI286" s="1668"/>
    </row>
    <row r="287" spans="1:35">
      <c r="A287" s="1669"/>
      <c r="B287" s="1669"/>
      <c r="C287" s="1669"/>
      <c r="D287" s="1669"/>
      <c r="E287" s="1669"/>
      <c r="F287" s="1669"/>
      <c r="G287" s="1669"/>
      <c r="H287" s="1669"/>
      <c r="I287" s="1669"/>
      <c r="J287" s="1669"/>
      <c r="K287" s="1669"/>
      <c r="L287" s="1669"/>
      <c r="M287" s="1669"/>
      <c r="N287" s="1669"/>
      <c r="O287" s="1669"/>
      <c r="P287" s="1669"/>
      <c r="Q287" s="1669"/>
      <c r="R287" s="1669"/>
      <c r="S287" s="1669"/>
      <c r="T287" s="1669"/>
      <c r="U287" s="1669"/>
      <c r="V287" s="1669"/>
      <c r="W287" s="1669"/>
      <c r="X287" s="1669"/>
      <c r="Y287" s="1669"/>
      <c r="Z287" s="1669"/>
      <c r="AA287" s="1669"/>
      <c r="AB287" s="1669"/>
      <c r="AC287" s="1669"/>
      <c r="AD287" s="1668"/>
      <c r="AE287" s="1668"/>
      <c r="AF287" s="1668"/>
      <c r="AG287" s="1668"/>
      <c r="AH287" s="1668"/>
      <c r="AI287" s="1668"/>
    </row>
    <row r="288" spans="1:35">
      <c r="A288" s="1669"/>
      <c r="B288" s="1669"/>
      <c r="C288" s="1669"/>
      <c r="D288" s="1669"/>
      <c r="E288" s="1669"/>
      <c r="F288" s="1669"/>
      <c r="G288" s="1669"/>
      <c r="H288" s="1669"/>
      <c r="I288" s="1669"/>
      <c r="J288" s="1669"/>
      <c r="K288" s="1669"/>
      <c r="L288" s="1669"/>
      <c r="M288" s="1669"/>
      <c r="N288" s="1669"/>
      <c r="O288" s="1669"/>
      <c r="P288" s="1669"/>
      <c r="Q288" s="1669"/>
      <c r="R288" s="1669"/>
      <c r="S288" s="1669"/>
      <c r="T288" s="1669"/>
      <c r="U288" s="1669"/>
      <c r="V288" s="1669"/>
      <c r="W288" s="1669"/>
      <c r="X288" s="1669"/>
      <c r="Y288" s="1669"/>
      <c r="Z288" s="1669"/>
      <c r="AA288" s="1669"/>
      <c r="AB288" s="1669"/>
      <c r="AC288" s="1669"/>
      <c r="AD288" s="1668"/>
      <c r="AE288" s="1668"/>
      <c r="AF288" s="1668"/>
      <c r="AG288" s="1668"/>
      <c r="AH288" s="1668"/>
      <c r="AI288" s="1668"/>
    </row>
    <row r="289" spans="1:35">
      <c r="A289" s="1669"/>
      <c r="B289" s="1669"/>
      <c r="C289" s="1669"/>
      <c r="D289" s="1669"/>
      <c r="E289" s="1669"/>
      <c r="F289" s="1669"/>
      <c r="G289" s="1669"/>
      <c r="H289" s="1669"/>
      <c r="I289" s="1669"/>
      <c r="J289" s="1669"/>
      <c r="K289" s="1669"/>
      <c r="L289" s="1669"/>
      <c r="M289" s="1669"/>
      <c r="N289" s="1669"/>
      <c r="O289" s="1669"/>
      <c r="P289" s="1669"/>
      <c r="Q289" s="1669"/>
      <c r="R289" s="1669"/>
      <c r="S289" s="1669"/>
      <c r="T289" s="1669"/>
      <c r="U289" s="1669"/>
      <c r="V289" s="1669"/>
      <c r="W289" s="1669"/>
      <c r="X289" s="1669"/>
      <c r="Y289" s="1669"/>
      <c r="Z289" s="1669"/>
      <c r="AA289" s="1669"/>
      <c r="AB289" s="1669"/>
      <c r="AC289" s="1669"/>
      <c r="AD289" s="1668"/>
      <c r="AE289" s="1668"/>
      <c r="AF289" s="1668"/>
      <c r="AG289" s="1668"/>
      <c r="AH289" s="1668"/>
      <c r="AI289" s="1668"/>
    </row>
    <row r="290" spans="1:35">
      <c r="A290" s="1669"/>
      <c r="B290" s="1669"/>
      <c r="C290" s="1669"/>
      <c r="D290" s="1669"/>
      <c r="E290" s="1669"/>
      <c r="F290" s="1669"/>
      <c r="G290" s="1669"/>
      <c r="H290" s="1669"/>
      <c r="I290" s="1669"/>
      <c r="J290" s="1669"/>
      <c r="K290" s="1669"/>
      <c r="L290" s="1669"/>
      <c r="M290" s="1669"/>
      <c r="N290" s="1669"/>
      <c r="O290" s="1669"/>
      <c r="P290" s="1669"/>
      <c r="Q290" s="1669"/>
      <c r="R290" s="1669"/>
      <c r="S290" s="1669"/>
      <c r="T290" s="1669"/>
      <c r="U290" s="1669"/>
      <c r="V290" s="1669"/>
      <c r="W290" s="1669"/>
      <c r="X290" s="1669"/>
      <c r="Y290" s="1669"/>
      <c r="Z290" s="1669"/>
      <c r="AA290" s="1669"/>
      <c r="AB290" s="1669"/>
      <c r="AC290" s="1669"/>
      <c r="AD290" s="1668"/>
      <c r="AE290" s="1668"/>
      <c r="AF290" s="1668"/>
      <c r="AG290" s="1668"/>
      <c r="AH290" s="1668"/>
      <c r="AI290" s="1668"/>
    </row>
    <row r="291" spans="1:35">
      <c r="A291" s="1669"/>
      <c r="B291" s="1669"/>
      <c r="C291" s="1669"/>
      <c r="D291" s="1669"/>
      <c r="E291" s="1669"/>
      <c r="F291" s="1669"/>
      <c r="G291" s="1669"/>
      <c r="H291" s="1669"/>
      <c r="I291" s="1669"/>
      <c r="J291" s="1669"/>
      <c r="K291" s="1669"/>
      <c r="L291" s="1669"/>
      <c r="M291" s="1669"/>
      <c r="N291" s="1669"/>
      <c r="O291" s="1669"/>
      <c r="P291" s="1669"/>
      <c r="Q291" s="1669"/>
      <c r="R291" s="1669"/>
      <c r="S291" s="1669"/>
      <c r="T291" s="1669"/>
      <c r="U291" s="1669"/>
      <c r="V291" s="1669"/>
      <c r="W291" s="1669"/>
      <c r="X291" s="1669"/>
      <c r="Y291" s="1669"/>
      <c r="Z291" s="1669"/>
      <c r="AA291" s="1669"/>
      <c r="AB291" s="1669"/>
      <c r="AC291" s="1669"/>
      <c r="AD291" s="1668"/>
      <c r="AE291" s="1668"/>
      <c r="AF291" s="1668"/>
      <c r="AG291" s="1668"/>
      <c r="AH291" s="1668"/>
      <c r="AI291" s="1668"/>
    </row>
    <row r="292" spans="1:35">
      <c r="A292" s="1669"/>
      <c r="B292" s="1669"/>
      <c r="C292" s="1669"/>
      <c r="D292" s="1669"/>
      <c r="E292" s="1669"/>
      <c r="F292" s="1669"/>
      <c r="G292" s="1669"/>
      <c r="H292" s="1669"/>
      <c r="I292" s="1669"/>
      <c r="J292" s="1669"/>
      <c r="K292" s="1669"/>
      <c r="L292" s="1669"/>
      <c r="M292" s="1669"/>
      <c r="N292" s="1669"/>
      <c r="O292" s="1669"/>
      <c r="P292" s="1669"/>
      <c r="Q292" s="1669"/>
      <c r="R292" s="1669"/>
      <c r="S292" s="1669"/>
      <c r="T292" s="1669"/>
      <c r="U292" s="1669"/>
      <c r="V292" s="1669"/>
      <c r="W292" s="1669"/>
      <c r="X292" s="1669"/>
      <c r="Y292" s="1669"/>
      <c r="Z292" s="1669"/>
      <c r="AA292" s="1669"/>
      <c r="AB292" s="1669"/>
      <c r="AC292" s="1669"/>
      <c r="AD292" s="1668"/>
      <c r="AE292" s="1668"/>
      <c r="AF292" s="1668"/>
      <c r="AG292" s="1668"/>
      <c r="AH292" s="1668"/>
      <c r="AI292" s="1668"/>
    </row>
    <row r="293" spans="1:35">
      <c r="A293" s="1669"/>
      <c r="B293" s="1669"/>
      <c r="C293" s="1669"/>
      <c r="D293" s="1669"/>
      <c r="E293" s="1669"/>
      <c r="F293" s="1669"/>
      <c r="G293" s="1669"/>
      <c r="H293" s="1669"/>
      <c r="I293" s="1669"/>
      <c r="J293" s="1669"/>
      <c r="K293" s="1669"/>
      <c r="L293" s="1669"/>
      <c r="M293" s="1669"/>
      <c r="N293" s="1669"/>
      <c r="O293" s="1669"/>
      <c r="P293" s="1669"/>
      <c r="Q293" s="1669"/>
      <c r="R293" s="1669"/>
      <c r="S293" s="1669"/>
      <c r="T293" s="1669"/>
      <c r="U293" s="1669"/>
      <c r="V293" s="1669"/>
      <c r="W293" s="1669"/>
      <c r="X293" s="1669"/>
      <c r="Y293" s="1669"/>
      <c r="Z293" s="1669"/>
      <c r="AA293" s="1669"/>
      <c r="AB293" s="1669"/>
      <c r="AC293" s="1669"/>
      <c r="AD293" s="1668"/>
      <c r="AE293" s="1668"/>
      <c r="AF293" s="1668"/>
      <c r="AG293" s="1668"/>
      <c r="AH293" s="1668"/>
      <c r="AI293" s="1668"/>
    </row>
    <row r="294" spans="1:35">
      <c r="A294" s="1669"/>
      <c r="B294" s="1669"/>
      <c r="C294" s="1669"/>
      <c r="D294" s="1669"/>
      <c r="E294" s="1669"/>
      <c r="F294" s="1669"/>
      <c r="G294" s="1669"/>
      <c r="H294" s="1669"/>
      <c r="I294" s="1669"/>
      <c r="J294" s="1669"/>
      <c r="K294" s="1669"/>
      <c r="L294" s="1669"/>
      <c r="M294" s="1669"/>
      <c r="N294" s="1669"/>
      <c r="O294" s="1669"/>
      <c r="P294" s="1669"/>
      <c r="Q294" s="1669"/>
      <c r="R294" s="1669"/>
      <c r="S294" s="1669"/>
      <c r="T294" s="1669"/>
      <c r="U294" s="1669"/>
      <c r="V294" s="1669"/>
      <c r="W294" s="1669"/>
      <c r="X294" s="1669"/>
      <c r="Y294" s="1669"/>
      <c r="Z294" s="1669"/>
      <c r="AA294" s="1669"/>
      <c r="AB294" s="1669"/>
      <c r="AC294" s="1669"/>
      <c r="AD294" s="1668"/>
      <c r="AE294" s="1668"/>
      <c r="AF294" s="1668"/>
      <c r="AG294" s="1668"/>
      <c r="AH294" s="1668"/>
      <c r="AI294" s="1668"/>
    </row>
    <row r="295" spans="1:35">
      <c r="A295" s="1669"/>
      <c r="B295" s="1669"/>
      <c r="C295" s="1669"/>
      <c r="D295" s="1669"/>
      <c r="E295" s="1669"/>
      <c r="F295" s="1669"/>
      <c r="G295" s="1669"/>
      <c r="H295" s="1669"/>
      <c r="I295" s="1669"/>
      <c r="J295" s="1669"/>
      <c r="K295" s="1669"/>
      <c r="L295" s="1669"/>
      <c r="M295" s="1669"/>
      <c r="N295" s="1669"/>
      <c r="O295" s="1669"/>
      <c r="P295" s="1669"/>
      <c r="Q295" s="1669"/>
      <c r="R295" s="1669"/>
      <c r="S295" s="1669"/>
      <c r="T295" s="1669"/>
      <c r="U295" s="1669"/>
      <c r="V295" s="1669"/>
      <c r="W295" s="1669"/>
      <c r="X295" s="1669"/>
      <c r="Y295" s="1669"/>
      <c r="Z295" s="1669"/>
      <c r="AA295" s="1669"/>
      <c r="AB295" s="1669"/>
      <c r="AC295" s="1669"/>
      <c r="AD295" s="1668"/>
      <c r="AE295" s="1668"/>
      <c r="AF295" s="1668"/>
      <c r="AG295" s="1668"/>
      <c r="AH295" s="1668"/>
      <c r="AI295" s="1668"/>
    </row>
    <row r="296" spans="1:35">
      <c r="A296" s="1669"/>
      <c r="B296" s="1669"/>
      <c r="C296" s="1669"/>
      <c r="D296" s="1669"/>
      <c r="E296" s="1669"/>
      <c r="F296" s="1669"/>
      <c r="G296" s="1669"/>
      <c r="H296" s="1669"/>
      <c r="I296" s="1669"/>
      <c r="J296" s="1669"/>
      <c r="K296" s="1669"/>
      <c r="L296" s="1669"/>
      <c r="M296" s="1669"/>
      <c r="N296" s="1669"/>
      <c r="O296" s="1669"/>
      <c r="P296" s="1669"/>
      <c r="Q296" s="1669"/>
      <c r="R296" s="1669"/>
      <c r="S296" s="1669"/>
      <c r="T296" s="1669"/>
      <c r="U296" s="1669"/>
      <c r="V296" s="1669"/>
      <c r="W296" s="1669"/>
      <c r="X296" s="1669"/>
      <c r="Y296" s="1669"/>
      <c r="Z296" s="1669"/>
      <c r="AA296" s="1669"/>
      <c r="AB296" s="1669"/>
      <c r="AC296" s="1669"/>
      <c r="AD296" s="1668"/>
      <c r="AE296" s="1668"/>
      <c r="AF296" s="1668"/>
      <c r="AG296" s="1668"/>
      <c r="AH296" s="1668"/>
      <c r="AI296" s="1668"/>
    </row>
    <row r="297" spans="1:35">
      <c r="A297" s="1669"/>
      <c r="B297" s="1669"/>
      <c r="C297" s="1669"/>
      <c r="D297" s="1669"/>
      <c r="E297" s="1669"/>
      <c r="F297" s="1669"/>
      <c r="G297" s="1669"/>
      <c r="H297" s="1669"/>
      <c r="I297" s="1669"/>
      <c r="J297" s="1669"/>
      <c r="K297" s="1669"/>
      <c r="L297" s="1669"/>
      <c r="M297" s="1669"/>
      <c r="N297" s="1669"/>
      <c r="O297" s="1669"/>
      <c r="P297" s="1669"/>
      <c r="Q297" s="1669"/>
      <c r="R297" s="1669"/>
      <c r="S297" s="1669"/>
      <c r="T297" s="1669"/>
      <c r="U297" s="1669"/>
      <c r="V297" s="1669"/>
      <c r="W297" s="1669"/>
      <c r="X297" s="1669"/>
      <c r="Y297" s="1669"/>
      <c r="Z297" s="1669"/>
      <c r="AA297" s="1669"/>
      <c r="AB297" s="1669"/>
      <c r="AC297" s="1669"/>
      <c r="AD297" s="1668"/>
      <c r="AE297" s="1668"/>
      <c r="AF297" s="1668"/>
      <c r="AG297" s="1668"/>
      <c r="AH297" s="1668"/>
      <c r="AI297" s="1668"/>
    </row>
    <row r="298" spans="1:35">
      <c r="A298" s="1669"/>
      <c r="B298" s="1669"/>
      <c r="C298" s="1669"/>
      <c r="D298" s="1669"/>
      <c r="E298" s="1669"/>
      <c r="F298" s="1669"/>
      <c r="G298" s="1669"/>
      <c r="H298" s="1669"/>
      <c r="I298" s="1669"/>
      <c r="J298" s="1669"/>
      <c r="K298" s="1669"/>
      <c r="L298" s="1669"/>
      <c r="M298" s="1669"/>
      <c r="N298" s="1669"/>
      <c r="O298" s="1669"/>
      <c r="P298" s="1669"/>
      <c r="Q298" s="1669"/>
      <c r="R298" s="1669"/>
      <c r="S298" s="1669"/>
      <c r="T298" s="1669"/>
      <c r="U298" s="1669"/>
      <c r="V298" s="1669"/>
      <c r="W298" s="1669"/>
      <c r="X298" s="1669"/>
      <c r="Y298" s="1669"/>
      <c r="Z298" s="1669"/>
      <c r="AA298" s="1669"/>
      <c r="AB298" s="1669"/>
      <c r="AC298" s="1669"/>
      <c r="AD298" s="1668"/>
      <c r="AE298" s="1668"/>
      <c r="AF298" s="1668"/>
      <c r="AG298" s="1668"/>
      <c r="AH298" s="1668"/>
      <c r="AI298" s="1668"/>
    </row>
    <row r="299" spans="1:35">
      <c r="A299" s="1669"/>
      <c r="B299" s="1669"/>
      <c r="C299" s="1669"/>
      <c r="D299" s="1669"/>
      <c r="E299" s="1669"/>
      <c r="F299" s="1669"/>
      <c r="G299" s="1669"/>
      <c r="H299" s="1669"/>
      <c r="I299" s="1669"/>
      <c r="J299" s="1669"/>
      <c r="K299" s="1669"/>
      <c r="L299" s="1669"/>
      <c r="M299" s="1669"/>
      <c r="N299" s="1669"/>
      <c r="O299" s="1669"/>
      <c r="P299" s="1669"/>
      <c r="Q299" s="1669"/>
      <c r="R299" s="1669"/>
      <c r="S299" s="1669"/>
      <c r="T299" s="1669"/>
      <c r="U299" s="1669"/>
      <c r="V299" s="1669"/>
      <c r="W299" s="1669"/>
      <c r="X299" s="1669"/>
      <c r="Y299" s="1669"/>
      <c r="Z299" s="1669"/>
      <c r="AA299" s="1669"/>
      <c r="AB299" s="1669"/>
      <c r="AC299" s="1669"/>
      <c r="AD299" s="1668"/>
      <c r="AE299" s="1668"/>
      <c r="AF299" s="1668"/>
      <c r="AG299" s="1668"/>
      <c r="AH299" s="1668"/>
      <c r="AI299" s="1668"/>
    </row>
    <row r="300" spans="1:35">
      <c r="A300" s="1669"/>
      <c r="B300" s="1669"/>
      <c r="C300" s="1669"/>
      <c r="D300" s="1669"/>
      <c r="E300" s="1669"/>
      <c r="F300" s="1669"/>
      <c r="G300" s="1669"/>
      <c r="H300" s="1669"/>
      <c r="I300" s="1669"/>
      <c r="J300" s="1669"/>
      <c r="K300" s="1669"/>
      <c r="L300" s="1669"/>
      <c r="M300" s="1669"/>
      <c r="N300" s="1669"/>
      <c r="O300" s="1669"/>
      <c r="P300" s="1669"/>
      <c r="Q300" s="1669"/>
      <c r="R300" s="1669"/>
      <c r="S300" s="1669"/>
      <c r="T300" s="1669"/>
      <c r="U300" s="1669"/>
      <c r="V300" s="1669"/>
      <c r="W300" s="1669"/>
      <c r="X300" s="1669"/>
      <c r="Y300" s="1669"/>
      <c r="Z300" s="1669"/>
      <c r="AA300" s="1669"/>
      <c r="AB300" s="1669"/>
      <c r="AC300" s="1669"/>
      <c r="AD300" s="1668"/>
      <c r="AE300" s="1668"/>
      <c r="AF300" s="1668"/>
      <c r="AG300" s="1668"/>
      <c r="AH300" s="1668"/>
      <c r="AI300" s="1668"/>
    </row>
    <row r="301" spans="1:35">
      <c r="A301" s="1669"/>
      <c r="B301" s="1669"/>
      <c r="C301" s="1669"/>
      <c r="D301" s="1669"/>
      <c r="E301" s="1669"/>
      <c r="F301" s="1669"/>
      <c r="G301" s="1669"/>
      <c r="H301" s="1669"/>
      <c r="I301" s="1669"/>
      <c r="J301" s="1669"/>
      <c r="K301" s="1669"/>
      <c r="L301" s="1669"/>
      <c r="M301" s="1669"/>
      <c r="N301" s="1669"/>
      <c r="O301" s="1669"/>
      <c r="P301" s="1669"/>
      <c r="Q301" s="1669"/>
      <c r="R301" s="1669"/>
      <c r="S301" s="1669"/>
      <c r="T301" s="1669"/>
      <c r="U301" s="1669"/>
      <c r="V301" s="1669"/>
      <c r="W301" s="1669"/>
      <c r="X301" s="1669"/>
      <c r="Y301" s="1669"/>
      <c r="Z301" s="1669"/>
      <c r="AA301" s="1669"/>
      <c r="AB301" s="1669"/>
      <c r="AC301" s="1669"/>
      <c r="AD301" s="1668"/>
      <c r="AE301" s="1668"/>
      <c r="AF301" s="1668"/>
      <c r="AG301" s="1668"/>
      <c r="AH301" s="1668"/>
      <c r="AI301" s="1668"/>
    </row>
    <row r="302" spans="1:35">
      <c r="A302" s="1669"/>
      <c r="B302" s="1669"/>
      <c r="C302" s="1669"/>
      <c r="D302" s="1669"/>
      <c r="E302" s="1669"/>
      <c r="F302" s="1669"/>
      <c r="G302" s="1669"/>
      <c r="H302" s="1669"/>
      <c r="I302" s="1669"/>
      <c r="J302" s="1669"/>
      <c r="K302" s="1669"/>
      <c r="L302" s="1669"/>
      <c r="M302" s="1669"/>
      <c r="N302" s="1669"/>
      <c r="O302" s="1669"/>
      <c r="P302" s="1669"/>
      <c r="Q302" s="1669"/>
      <c r="R302" s="1669"/>
      <c r="S302" s="1669"/>
      <c r="T302" s="1669"/>
      <c r="U302" s="1669"/>
      <c r="V302" s="1669"/>
      <c r="W302" s="1669"/>
      <c r="X302" s="1669"/>
      <c r="Y302" s="1669"/>
      <c r="Z302" s="1669"/>
      <c r="AA302" s="1669"/>
      <c r="AB302" s="1669"/>
      <c r="AC302" s="1669"/>
      <c r="AD302" s="1668"/>
      <c r="AE302" s="1668"/>
      <c r="AF302" s="1668"/>
      <c r="AG302" s="1668"/>
      <c r="AH302" s="1668"/>
      <c r="AI302" s="1668"/>
    </row>
    <row r="303" spans="1:35">
      <c r="A303" s="1669"/>
      <c r="B303" s="1669"/>
      <c r="C303" s="1669"/>
      <c r="D303" s="1669"/>
      <c r="E303" s="1669"/>
      <c r="F303" s="1669"/>
      <c r="G303" s="1669"/>
      <c r="H303" s="1669"/>
      <c r="I303" s="1669"/>
      <c r="J303" s="1669"/>
      <c r="K303" s="1669"/>
      <c r="L303" s="1669"/>
      <c r="M303" s="1669"/>
      <c r="N303" s="1669"/>
      <c r="O303" s="1669"/>
      <c r="P303" s="1669"/>
      <c r="Q303" s="1669"/>
      <c r="R303" s="1669"/>
      <c r="S303" s="1669"/>
      <c r="T303" s="1669"/>
      <c r="U303" s="1669"/>
      <c r="V303" s="1669"/>
      <c r="W303" s="1669"/>
      <c r="X303" s="1669"/>
      <c r="Y303" s="1669"/>
      <c r="Z303" s="1669"/>
      <c r="AA303" s="1669"/>
      <c r="AB303" s="1669"/>
      <c r="AC303" s="1669"/>
      <c r="AD303" s="1668"/>
      <c r="AE303" s="1668"/>
      <c r="AF303" s="1668"/>
      <c r="AG303" s="1668"/>
      <c r="AH303" s="1668"/>
      <c r="AI303" s="1668"/>
    </row>
    <row r="304" spans="1:35">
      <c r="A304" s="1669"/>
      <c r="B304" s="1669"/>
      <c r="C304" s="1669"/>
      <c r="D304" s="1669"/>
      <c r="E304" s="1669"/>
      <c r="F304" s="1669"/>
      <c r="G304" s="1669"/>
      <c r="H304" s="1669"/>
      <c r="I304" s="1669"/>
      <c r="J304" s="1669"/>
      <c r="K304" s="1669"/>
      <c r="L304" s="1669"/>
      <c r="M304" s="1669"/>
      <c r="N304" s="1669"/>
      <c r="O304" s="1669"/>
      <c r="P304" s="1669"/>
      <c r="Q304" s="1669"/>
      <c r="R304" s="1669"/>
      <c r="S304" s="1669"/>
      <c r="T304" s="1669"/>
      <c r="U304" s="1669"/>
      <c r="V304" s="1669"/>
      <c r="W304" s="1669"/>
      <c r="X304" s="1669"/>
      <c r="Y304" s="1669"/>
      <c r="Z304" s="1669"/>
      <c r="AA304" s="1669"/>
      <c r="AB304" s="1669"/>
      <c r="AC304" s="1669"/>
      <c r="AD304" s="1668"/>
      <c r="AE304" s="1668"/>
      <c r="AF304" s="1668"/>
      <c r="AG304" s="1668"/>
      <c r="AH304" s="1668"/>
      <c r="AI304" s="1668"/>
    </row>
    <row r="305" spans="1:35">
      <c r="A305" s="1669"/>
      <c r="B305" s="1669"/>
      <c r="C305" s="1669"/>
      <c r="D305" s="1669"/>
      <c r="E305" s="1669"/>
      <c r="F305" s="1669"/>
      <c r="G305" s="1669"/>
      <c r="H305" s="1669"/>
      <c r="I305" s="1669"/>
      <c r="J305" s="1669"/>
      <c r="K305" s="1669"/>
      <c r="L305" s="1669"/>
      <c r="M305" s="1669"/>
      <c r="N305" s="1669"/>
      <c r="O305" s="1669"/>
      <c r="P305" s="1669"/>
      <c r="Q305" s="1669"/>
      <c r="R305" s="1669"/>
      <c r="S305" s="1669"/>
      <c r="T305" s="1669"/>
      <c r="U305" s="1669"/>
      <c r="V305" s="1669"/>
      <c r="W305" s="1669"/>
      <c r="X305" s="1669"/>
      <c r="Y305" s="1669"/>
      <c r="Z305" s="1669"/>
      <c r="AA305" s="1669"/>
      <c r="AB305" s="1669"/>
      <c r="AC305" s="1669"/>
      <c r="AD305" s="1668"/>
      <c r="AE305" s="1668"/>
      <c r="AF305" s="1668"/>
      <c r="AG305" s="1668"/>
      <c r="AH305" s="1668"/>
      <c r="AI305" s="1668"/>
    </row>
    <row r="306" spans="1:35">
      <c r="A306" s="1669"/>
      <c r="B306" s="1669"/>
      <c r="C306" s="1669"/>
      <c r="D306" s="1669"/>
      <c r="E306" s="1669"/>
      <c r="F306" s="1669"/>
      <c r="G306" s="1669"/>
      <c r="H306" s="1669"/>
      <c r="I306" s="1669"/>
      <c r="J306" s="1669"/>
      <c r="K306" s="1669"/>
      <c r="L306" s="1669"/>
      <c r="M306" s="1669"/>
      <c r="N306" s="1669"/>
      <c r="O306" s="1669"/>
      <c r="P306" s="1669"/>
      <c r="Q306" s="1669"/>
      <c r="R306" s="1669"/>
      <c r="S306" s="1669"/>
      <c r="T306" s="1669"/>
      <c r="U306" s="1669"/>
      <c r="V306" s="1669"/>
      <c r="W306" s="1669"/>
      <c r="X306" s="1669"/>
      <c r="Y306" s="1669"/>
      <c r="Z306" s="1669"/>
      <c r="AA306" s="1669"/>
      <c r="AB306" s="1669"/>
      <c r="AC306" s="1669"/>
      <c r="AD306" s="1668"/>
      <c r="AE306" s="1668"/>
      <c r="AF306" s="1668"/>
      <c r="AG306" s="1668"/>
      <c r="AH306" s="1668"/>
      <c r="AI306" s="1668"/>
    </row>
    <row r="307" spans="1:35">
      <c r="A307" s="1669"/>
      <c r="B307" s="1669"/>
      <c r="C307" s="1669"/>
      <c r="D307" s="1669"/>
      <c r="E307" s="1669"/>
      <c r="F307" s="1669"/>
      <c r="G307" s="1669"/>
      <c r="H307" s="1669"/>
      <c r="I307" s="1669"/>
      <c r="J307" s="1669"/>
      <c r="K307" s="1669"/>
      <c r="L307" s="1669"/>
      <c r="M307" s="1669"/>
      <c r="N307" s="1669"/>
      <c r="O307" s="1669"/>
      <c r="P307" s="1669"/>
      <c r="Q307" s="1669"/>
      <c r="R307" s="1669"/>
      <c r="S307" s="1669"/>
      <c r="T307" s="1669"/>
      <c r="U307" s="1669"/>
      <c r="V307" s="1669"/>
      <c r="W307" s="1669"/>
      <c r="X307" s="1669"/>
      <c r="Y307" s="1669"/>
      <c r="Z307" s="1669"/>
      <c r="AA307" s="1669"/>
      <c r="AB307" s="1669"/>
      <c r="AC307" s="1669"/>
      <c r="AD307" s="1668"/>
      <c r="AE307" s="1668"/>
      <c r="AF307" s="1668"/>
      <c r="AG307" s="1668"/>
      <c r="AH307" s="1668"/>
      <c r="AI307" s="1668"/>
    </row>
    <row r="308" spans="1:35">
      <c r="A308" s="1669"/>
      <c r="B308" s="1669"/>
      <c r="C308" s="1669"/>
      <c r="D308" s="1669"/>
      <c r="E308" s="1669"/>
      <c r="F308" s="1669"/>
      <c r="G308" s="1669"/>
      <c r="H308" s="1669"/>
      <c r="I308" s="1669"/>
      <c r="J308" s="1669"/>
      <c r="K308" s="1669"/>
      <c r="L308" s="1669"/>
      <c r="M308" s="1669"/>
      <c r="N308" s="1669"/>
      <c r="O308" s="1669"/>
      <c r="P308" s="1669"/>
      <c r="Q308" s="1669"/>
      <c r="R308" s="1669"/>
      <c r="S308" s="1669"/>
      <c r="T308" s="1669"/>
      <c r="U308" s="1669"/>
      <c r="V308" s="1669"/>
      <c r="W308" s="1669"/>
      <c r="X308" s="1669"/>
      <c r="Y308" s="1669"/>
      <c r="Z308" s="1669"/>
      <c r="AA308" s="1669"/>
      <c r="AB308" s="1669"/>
      <c r="AC308" s="1669"/>
      <c r="AD308" s="1668"/>
      <c r="AE308" s="1668"/>
      <c r="AF308" s="1668"/>
      <c r="AG308" s="1668"/>
      <c r="AH308" s="1668"/>
      <c r="AI308" s="1668"/>
    </row>
    <row r="309" spans="1:35">
      <c r="A309" s="1669"/>
      <c r="B309" s="1669"/>
      <c r="C309" s="1669"/>
      <c r="D309" s="1669"/>
      <c r="E309" s="1669"/>
      <c r="F309" s="1669"/>
      <c r="G309" s="1669"/>
      <c r="H309" s="1669"/>
      <c r="I309" s="1669"/>
      <c r="J309" s="1669"/>
      <c r="K309" s="1669"/>
      <c r="L309" s="1669"/>
      <c r="M309" s="1669"/>
      <c r="N309" s="1669"/>
      <c r="O309" s="1669"/>
      <c r="P309" s="1669"/>
      <c r="Q309" s="1669"/>
      <c r="R309" s="1669"/>
      <c r="S309" s="1669"/>
      <c r="T309" s="1669"/>
      <c r="U309" s="1669"/>
      <c r="V309" s="1669"/>
      <c r="W309" s="1669"/>
      <c r="X309" s="1669"/>
      <c r="Y309" s="1669"/>
      <c r="Z309" s="1669"/>
      <c r="AA309" s="1669"/>
      <c r="AB309" s="1669"/>
      <c r="AC309" s="1669"/>
      <c r="AD309" s="1668"/>
      <c r="AE309" s="1668"/>
      <c r="AF309" s="1668"/>
      <c r="AG309" s="1668"/>
      <c r="AH309" s="1668"/>
      <c r="AI309" s="1668"/>
    </row>
    <row r="310" spans="1:35">
      <c r="A310" s="1669"/>
      <c r="B310" s="1669"/>
      <c r="C310" s="1669"/>
      <c r="D310" s="1669"/>
      <c r="E310" s="1669"/>
      <c r="F310" s="1669"/>
      <c r="G310" s="1669"/>
      <c r="H310" s="1669"/>
      <c r="I310" s="1669"/>
      <c r="J310" s="1669"/>
      <c r="K310" s="1669"/>
      <c r="L310" s="1669"/>
      <c r="M310" s="1669"/>
      <c r="N310" s="1669"/>
      <c r="O310" s="1669"/>
      <c r="P310" s="1669"/>
      <c r="Q310" s="1669"/>
      <c r="R310" s="1669"/>
      <c r="S310" s="1669"/>
      <c r="T310" s="1669"/>
      <c r="U310" s="1669"/>
      <c r="V310" s="1669"/>
      <c r="W310" s="1669"/>
      <c r="X310" s="1669"/>
      <c r="Y310" s="1669"/>
      <c r="Z310" s="1669"/>
      <c r="AA310" s="1669"/>
      <c r="AB310" s="1669"/>
      <c r="AC310" s="1669"/>
      <c r="AD310" s="1668"/>
      <c r="AE310" s="1668"/>
      <c r="AF310" s="1668"/>
      <c r="AG310" s="1668"/>
      <c r="AH310" s="1668"/>
      <c r="AI310" s="1668"/>
    </row>
    <row r="311" spans="1:35">
      <c r="A311" s="1669"/>
      <c r="B311" s="1669"/>
      <c r="C311" s="1669"/>
      <c r="D311" s="1669"/>
      <c r="E311" s="1669"/>
      <c r="F311" s="1669"/>
      <c r="G311" s="1669"/>
      <c r="H311" s="1669"/>
      <c r="I311" s="1669"/>
      <c r="J311" s="1669"/>
      <c r="K311" s="1669"/>
      <c r="L311" s="1669"/>
      <c r="M311" s="1669"/>
      <c r="N311" s="1669"/>
      <c r="O311" s="1669"/>
      <c r="P311" s="1669"/>
      <c r="Q311" s="1669"/>
      <c r="R311" s="1669"/>
      <c r="S311" s="1669"/>
      <c r="T311" s="1669"/>
      <c r="U311" s="1669"/>
      <c r="V311" s="1669"/>
      <c r="W311" s="1669"/>
      <c r="X311" s="1669"/>
      <c r="Y311" s="1669"/>
      <c r="Z311" s="1669"/>
      <c r="AA311" s="1669"/>
      <c r="AB311" s="1669"/>
      <c r="AC311" s="1669"/>
      <c r="AD311" s="1668"/>
      <c r="AE311" s="1668"/>
      <c r="AF311" s="1668"/>
      <c r="AG311" s="1668"/>
      <c r="AH311" s="1668"/>
      <c r="AI311" s="1668"/>
    </row>
    <row r="312" spans="1:35">
      <c r="A312" s="1669"/>
      <c r="B312" s="1669"/>
      <c r="C312" s="1669"/>
      <c r="D312" s="1669"/>
      <c r="E312" s="1669"/>
      <c r="F312" s="1669"/>
      <c r="G312" s="1669"/>
      <c r="H312" s="1669"/>
      <c r="I312" s="1669"/>
      <c r="J312" s="1669"/>
      <c r="K312" s="1669"/>
      <c r="L312" s="1669"/>
      <c r="M312" s="1669"/>
      <c r="N312" s="1669"/>
      <c r="O312" s="1669"/>
      <c r="P312" s="1669"/>
      <c r="Q312" s="1669"/>
      <c r="R312" s="1669"/>
      <c r="S312" s="1669"/>
      <c r="T312" s="1669"/>
      <c r="U312" s="1669"/>
      <c r="V312" s="1669"/>
      <c r="W312" s="1669"/>
      <c r="X312" s="1669"/>
      <c r="Y312" s="1669"/>
      <c r="Z312" s="1669"/>
      <c r="AA312" s="1669"/>
      <c r="AB312" s="1669"/>
      <c r="AC312" s="1669"/>
      <c r="AD312" s="1668"/>
      <c r="AE312" s="1668"/>
      <c r="AF312" s="1668"/>
      <c r="AG312" s="1668"/>
      <c r="AH312" s="1668"/>
      <c r="AI312" s="1668"/>
    </row>
    <row r="313" spans="1:35">
      <c r="A313" s="1669"/>
      <c r="B313" s="1669"/>
      <c r="C313" s="1669"/>
      <c r="D313" s="1669"/>
      <c r="E313" s="1669"/>
      <c r="F313" s="1669"/>
      <c r="G313" s="1669"/>
      <c r="H313" s="1669"/>
      <c r="I313" s="1669"/>
      <c r="J313" s="1669"/>
      <c r="K313" s="1669"/>
      <c r="L313" s="1669"/>
      <c r="M313" s="1669"/>
      <c r="N313" s="1669"/>
      <c r="O313" s="1669"/>
      <c r="P313" s="1669"/>
      <c r="Q313" s="1669"/>
      <c r="R313" s="1669"/>
      <c r="S313" s="1669"/>
      <c r="T313" s="1669"/>
      <c r="U313" s="1669"/>
      <c r="V313" s="1669"/>
      <c r="W313" s="1669"/>
      <c r="X313" s="1669"/>
      <c r="Y313" s="1669"/>
      <c r="Z313" s="1669"/>
      <c r="AA313" s="1669"/>
      <c r="AB313" s="1669"/>
      <c r="AC313" s="1669"/>
      <c r="AD313" s="1668"/>
      <c r="AE313" s="1668"/>
      <c r="AF313" s="1668"/>
      <c r="AG313" s="1668"/>
      <c r="AH313" s="1668"/>
      <c r="AI313" s="1668"/>
    </row>
    <row r="314" spans="1:35">
      <c r="A314" s="1669"/>
      <c r="B314" s="1669"/>
      <c r="C314" s="1669"/>
      <c r="D314" s="1669"/>
      <c r="E314" s="1669"/>
      <c r="F314" s="1669"/>
      <c r="G314" s="1669"/>
      <c r="H314" s="1669"/>
      <c r="I314" s="1669"/>
      <c r="J314" s="1669"/>
      <c r="K314" s="1669"/>
      <c r="L314" s="1669"/>
      <c r="M314" s="1669"/>
      <c r="N314" s="1669"/>
      <c r="O314" s="1669"/>
      <c r="P314" s="1669"/>
      <c r="Q314" s="1669"/>
      <c r="R314" s="1669"/>
      <c r="S314" s="1669"/>
      <c r="T314" s="1669"/>
      <c r="U314" s="1669"/>
      <c r="V314" s="1669"/>
      <c r="W314" s="1669"/>
      <c r="X314" s="1669"/>
      <c r="Y314" s="1669"/>
      <c r="Z314" s="1669"/>
      <c r="AA314" s="1669"/>
      <c r="AB314" s="1669"/>
      <c r="AC314" s="1669"/>
      <c r="AD314" s="1668"/>
      <c r="AE314" s="1668"/>
      <c r="AF314" s="1668"/>
      <c r="AG314" s="1668"/>
      <c r="AH314" s="1668"/>
      <c r="AI314" s="1668"/>
    </row>
    <row r="315" spans="1:35">
      <c r="A315" s="1669"/>
      <c r="B315" s="1669"/>
      <c r="C315" s="1669"/>
      <c r="D315" s="1669"/>
      <c r="E315" s="1669"/>
      <c r="F315" s="1669"/>
      <c r="G315" s="1669"/>
      <c r="H315" s="1669"/>
      <c r="I315" s="1669"/>
      <c r="J315" s="1669"/>
      <c r="K315" s="1669"/>
      <c r="L315" s="1669"/>
      <c r="M315" s="1669"/>
      <c r="N315" s="1669"/>
      <c r="O315" s="1669"/>
      <c r="P315" s="1669"/>
      <c r="Q315" s="1669"/>
      <c r="R315" s="1669"/>
      <c r="S315" s="1669"/>
      <c r="T315" s="1669"/>
      <c r="U315" s="1669"/>
      <c r="V315" s="1669"/>
      <c r="W315" s="1669"/>
      <c r="X315" s="1669"/>
      <c r="Y315" s="1669"/>
      <c r="Z315" s="1669"/>
      <c r="AA315" s="1669"/>
      <c r="AB315" s="1669"/>
      <c r="AC315" s="1669"/>
      <c r="AD315" s="1668"/>
      <c r="AE315" s="1668"/>
      <c r="AF315" s="1668"/>
      <c r="AG315" s="1668"/>
      <c r="AH315" s="1668"/>
      <c r="AI315" s="1668"/>
    </row>
    <row r="316" spans="1:35">
      <c r="A316" s="1669"/>
      <c r="B316" s="1669"/>
      <c r="C316" s="1669"/>
      <c r="D316" s="1669"/>
      <c r="E316" s="1669"/>
      <c r="F316" s="1669"/>
      <c r="G316" s="1669"/>
      <c r="H316" s="1669"/>
      <c r="I316" s="1669"/>
      <c r="J316" s="1669"/>
      <c r="K316" s="1669"/>
      <c r="L316" s="1669"/>
      <c r="M316" s="1669"/>
      <c r="N316" s="1669"/>
      <c r="O316" s="1669"/>
      <c r="P316" s="1669"/>
      <c r="Q316" s="1669"/>
      <c r="R316" s="1669"/>
      <c r="S316" s="1669"/>
      <c r="T316" s="1669"/>
      <c r="U316" s="1669"/>
      <c r="V316" s="1669"/>
      <c r="W316" s="1669"/>
      <c r="X316" s="1669"/>
      <c r="Y316" s="1669"/>
      <c r="Z316" s="1669"/>
      <c r="AA316" s="1669"/>
      <c r="AB316" s="1669"/>
      <c r="AC316" s="1669"/>
      <c r="AD316" s="1668"/>
      <c r="AE316" s="1668"/>
      <c r="AF316" s="1668"/>
      <c r="AG316" s="1668"/>
      <c r="AH316" s="1668"/>
      <c r="AI316" s="1668"/>
    </row>
    <row r="317" spans="1:35">
      <c r="A317" s="1669"/>
      <c r="B317" s="1669"/>
      <c r="C317" s="1669"/>
      <c r="D317" s="1669"/>
      <c r="E317" s="1669"/>
      <c r="F317" s="1669"/>
      <c r="G317" s="1669"/>
      <c r="H317" s="1669"/>
      <c r="I317" s="1669"/>
      <c r="J317" s="1669"/>
      <c r="K317" s="1669"/>
      <c r="L317" s="1669"/>
      <c r="M317" s="1669"/>
      <c r="N317" s="1669"/>
      <c r="O317" s="1669"/>
      <c r="P317" s="1669"/>
      <c r="Q317" s="1669"/>
      <c r="R317" s="1669"/>
      <c r="S317" s="1669"/>
      <c r="T317" s="1669"/>
      <c r="U317" s="1669"/>
      <c r="V317" s="1669"/>
      <c r="W317" s="1669"/>
      <c r="X317" s="1669"/>
      <c r="Y317" s="1669"/>
      <c r="Z317" s="1669"/>
      <c r="AA317" s="1669"/>
      <c r="AB317" s="1669"/>
      <c r="AC317" s="1669"/>
      <c r="AD317" s="1668"/>
      <c r="AE317" s="1668"/>
      <c r="AF317" s="1668"/>
      <c r="AG317" s="1668"/>
      <c r="AH317" s="1668"/>
      <c r="AI317" s="1668"/>
    </row>
    <row r="318" spans="1:35">
      <c r="A318" s="1669"/>
      <c r="B318" s="1669"/>
      <c r="C318" s="1669"/>
      <c r="D318" s="1669"/>
      <c r="E318" s="1669"/>
      <c r="F318" s="1669"/>
      <c r="G318" s="1669"/>
      <c r="H318" s="1669"/>
      <c r="I318" s="1669"/>
      <c r="J318" s="1669"/>
      <c r="K318" s="1669"/>
      <c r="L318" s="1669"/>
      <c r="M318" s="1669"/>
      <c r="N318" s="1669"/>
      <c r="O318" s="1669"/>
      <c r="P318" s="1669"/>
      <c r="Q318" s="1669"/>
      <c r="R318" s="1669"/>
      <c r="S318" s="1669"/>
      <c r="T318" s="1669"/>
      <c r="U318" s="1669"/>
      <c r="V318" s="1669"/>
      <c r="W318" s="1669"/>
      <c r="X318" s="1669"/>
      <c r="Y318" s="1669"/>
      <c r="Z318" s="1669"/>
      <c r="AA318" s="1669"/>
      <c r="AB318" s="1669"/>
      <c r="AC318" s="1669"/>
      <c r="AD318" s="1668"/>
      <c r="AE318" s="1668"/>
      <c r="AF318" s="1668"/>
      <c r="AG318" s="1668"/>
      <c r="AH318" s="1668"/>
      <c r="AI318" s="1668"/>
    </row>
    <row r="319" spans="1:35">
      <c r="A319" s="1669"/>
      <c r="B319" s="1669"/>
      <c r="C319" s="1669"/>
      <c r="D319" s="1669"/>
      <c r="E319" s="1669"/>
      <c r="F319" s="1669"/>
      <c r="G319" s="1669"/>
      <c r="H319" s="1669"/>
      <c r="I319" s="1669"/>
      <c r="J319" s="1669"/>
      <c r="K319" s="1669"/>
      <c r="L319" s="1669"/>
      <c r="M319" s="1669"/>
      <c r="N319" s="1669"/>
      <c r="O319" s="1669"/>
      <c r="P319" s="1669"/>
      <c r="Q319" s="1669"/>
      <c r="R319" s="1669"/>
      <c r="S319" s="1669"/>
      <c r="T319" s="1669"/>
      <c r="U319" s="1669"/>
      <c r="V319" s="1669"/>
      <c r="W319" s="1669"/>
      <c r="X319" s="1669"/>
      <c r="Y319" s="1669"/>
      <c r="Z319" s="1669"/>
      <c r="AA319" s="1669"/>
      <c r="AB319" s="1669"/>
      <c r="AC319" s="1669"/>
      <c r="AD319" s="1668"/>
      <c r="AE319" s="1668"/>
      <c r="AF319" s="1668"/>
      <c r="AG319" s="1668"/>
      <c r="AH319" s="1668"/>
      <c r="AI319" s="1668"/>
    </row>
  </sheetData>
  <mergeCells count="43">
    <mergeCell ref="E25:I25"/>
    <mergeCell ref="C60:E60"/>
    <mergeCell ref="F60:H60"/>
    <mergeCell ref="E28:I28"/>
    <mergeCell ref="E29:I29"/>
    <mergeCell ref="E30:I30"/>
    <mergeCell ref="C32:I32"/>
    <mergeCell ref="X77:AE78"/>
    <mergeCell ref="AC69:AE69"/>
    <mergeCell ref="Z64:AB65"/>
    <mergeCell ref="Z69:AB69"/>
    <mergeCell ref="Z66:AB66"/>
    <mergeCell ref="Z68:AB68"/>
    <mergeCell ref="Y70:AB70"/>
    <mergeCell ref="V64:X64"/>
    <mergeCell ref="V67:X67"/>
    <mergeCell ref="V68:X68"/>
    <mergeCell ref="C84:E84"/>
    <mergeCell ref="F84:H84"/>
    <mergeCell ref="C91:E91"/>
    <mergeCell ref="F91:H91"/>
    <mergeCell ref="C65:E65"/>
    <mergeCell ref="F65:H65"/>
    <mergeCell ref="C68:E68"/>
    <mergeCell ref="F68:H68"/>
    <mergeCell ref="A2:I2"/>
    <mergeCell ref="A4:I4"/>
    <mergeCell ref="A7:I7"/>
    <mergeCell ref="A10:I10"/>
    <mergeCell ref="F19:G19"/>
    <mergeCell ref="A11:I11"/>
    <mergeCell ref="A12:I12"/>
    <mergeCell ref="A13:I13"/>
    <mergeCell ref="A14:I14"/>
    <mergeCell ref="S75:T75"/>
    <mergeCell ref="S76:T76"/>
    <mergeCell ref="S77:T77"/>
    <mergeCell ref="S78:T78"/>
    <mergeCell ref="B48:I48"/>
    <mergeCell ref="M75:N75"/>
    <mergeCell ref="M76:N76"/>
    <mergeCell ref="L49:M49"/>
    <mergeCell ref="L73:M73"/>
  </mergeCells>
  <phoneticPr fontId="184" type="noConversion"/>
  <dataValidations disablePrompts="1" count="3">
    <dataValidation type="list" allowBlank="1" showInputMessage="1" showErrorMessage="1" sqref="C2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570 IY65570 SU65570 ACQ65570 AMM65570 AWI65570 BGE65570 BQA65570 BZW65570 CJS65570 CTO65570 DDK65570 DNG65570 DXC65570 EGY65570 EQU65570 FAQ65570 FKM65570 FUI65570 GEE65570 GOA65570 GXW65570 HHS65570 HRO65570 IBK65570 ILG65570 IVC65570 JEY65570 JOU65570 JYQ65570 KIM65570 KSI65570 LCE65570 LMA65570 LVW65570 MFS65570 MPO65570 MZK65570 NJG65570 NTC65570 OCY65570 OMU65570 OWQ65570 PGM65570 PQI65570 QAE65570 QKA65570 QTW65570 RDS65570 RNO65570 RXK65570 SHG65570 SRC65570 TAY65570 TKU65570 TUQ65570 UEM65570 UOI65570 UYE65570 VIA65570 VRW65570 WBS65570 WLO65570 WVK65570 C131106 IY131106 SU131106 ACQ131106 AMM131106 AWI131106 BGE131106 BQA131106 BZW131106 CJS131106 CTO131106 DDK131106 DNG131106 DXC131106 EGY131106 EQU131106 FAQ131106 FKM131106 FUI131106 GEE131106 GOA131106 GXW131106 HHS131106 HRO131106 IBK131106 ILG131106 IVC131106 JEY131106 JOU131106 JYQ131106 KIM131106 KSI131106 LCE131106 LMA131106 LVW131106 MFS131106 MPO131106 MZK131106 NJG131106 NTC131106 OCY131106 OMU131106 OWQ131106 PGM131106 PQI131106 QAE131106 QKA131106 QTW131106 RDS131106 RNO131106 RXK131106 SHG131106 SRC131106 TAY131106 TKU131106 TUQ131106 UEM131106 UOI131106 UYE131106 VIA131106 VRW131106 WBS131106 WLO131106 WVK131106 C196642 IY196642 SU196642 ACQ196642 AMM196642 AWI196642 BGE196642 BQA196642 BZW196642 CJS196642 CTO196642 DDK196642 DNG196642 DXC196642 EGY196642 EQU196642 FAQ196642 FKM196642 FUI196642 GEE196642 GOA196642 GXW196642 HHS196642 HRO196642 IBK196642 ILG196642 IVC196642 JEY196642 JOU196642 JYQ196642 KIM196642 KSI196642 LCE196642 LMA196642 LVW196642 MFS196642 MPO196642 MZK196642 NJG196642 NTC196642 OCY196642 OMU196642 OWQ196642 PGM196642 PQI196642 QAE196642 QKA196642 QTW196642 RDS196642 RNO196642 RXK196642 SHG196642 SRC196642 TAY196642 TKU196642 TUQ196642 UEM196642 UOI196642 UYE196642 VIA196642 VRW196642 WBS196642 WLO196642 WVK196642 C262178 IY262178 SU262178 ACQ262178 AMM262178 AWI262178 BGE262178 BQA262178 BZW262178 CJS262178 CTO262178 DDK262178 DNG262178 DXC262178 EGY262178 EQU262178 FAQ262178 FKM262178 FUI262178 GEE262178 GOA262178 GXW262178 HHS262178 HRO262178 IBK262178 ILG262178 IVC262178 JEY262178 JOU262178 JYQ262178 KIM262178 KSI262178 LCE262178 LMA262178 LVW262178 MFS262178 MPO262178 MZK262178 NJG262178 NTC262178 OCY262178 OMU262178 OWQ262178 PGM262178 PQI262178 QAE262178 QKA262178 QTW262178 RDS262178 RNO262178 RXK262178 SHG262178 SRC262178 TAY262178 TKU262178 TUQ262178 UEM262178 UOI262178 UYE262178 VIA262178 VRW262178 WBS262178 WLO262178 WVK262178 C327714 IY327714 SU327714 ACQ327714 AMM327714 AWI327714 BGE327714 BQA327714 BZW327714 CJS327714 CTO327714 DDK327714 DNG327714 DXC327714 EGY327714 EQU327714 FAQ327714 FKM327714 FUI327714 GEE327714 GOA327714 GXW327714 HHS327714 HRO327714 IBK327714 ILG327714 IVC327714 JEY327714 JOU327714 JYQ327714 KIM327714 KSI327714 LCE327714 LMA327714 LVW327714 MFS327714 MPO327714 MZK327714 NJG327714 NTC327714 OCY327714 OMU327714 OWQ327714 PGM327714 PQI327714 QAE327714 QKA327714 QTW327714 RDS327714 RNO327714 RXK327714 SHG327714 SRC327714 TAY327714 TKU327714 TUQ327714 UEM327714 UOI327714 UYE327714 VIA327714 VRW327714 WBS327714 WLO327714 WVK327714 C393250 IY393250 SU393250 ACQ393250 AMM393250 AWI393250 BGE393250 BQA393250 BZW393250 CJS393250 CTO393250 DDK393250 DNG393250 DXC393250 EGY393250 EQU393250 FAQ393250 FKM393250 FUI393250 GEE393250 GOA393250 GXW393250 HHS393250 HRO393250 IBK393250 ILG393250 IVC393250 JEY393250 JOU393250 JYQ393250 KIM393250 KSI393250 LCE393250 LMA393250 LVW393250 MFS393250 MPO393250 MZK393250 NJG393250 NTC393250 OCY393250 OMU393250 OWQ393250 PGM393250 PQI393250 QAE393250 QKA393250 QTW393250 RDS393250 RNO393250 RXK393250 SHG393250 SRC393250 TAY393250 TKU393250 TUQ393250 UEM393250 UOI393250 UYE393250 VIA393250 VRW393250 WBS393250 WLO393250 WVK393250 C458786 IY458786 SU458786 ACQ458786 AMM458786 AWI458786 BGE458786 BQA458786 BZW458786 CJS458786 CTO458786 DDK458786 DNG458786 DXC458786 EGY458786 EQU458786 FAQ458786 FKM458786 FUI458786 GEE458786 GOA458786 GXW458786 HHS458786 HRO458786 IBK458786 ILG458786 IVC458786 JEY458786 JOU458786 JYQ458786 KIM458786 KSI458786 LCE458786 LMA458786 LVW458786 MFS458786 MPO458786 MZK458786 NJG458786 NTC458786 OCY458786 OMU458786 OWQ458786 PGM458786 PQI458786 QAE458786 QKA458786 QTW458786 RDS458786 RNO458786 RXK458786 SHG458786 SRC458786 TAY458786 TKU458786 TUQ458786 UEM458786 UOI458786 UYE458786 VIA458786 VRW458786 WBS458786 WLO458786 WVK458786 C524322 IY524322 SU524322 ACQ524322 AMM524322 AWI524322 BGE524322 BQA524322 BZW524322 CJS524322 CTO524322 DDK524322 DNG524322 DXC524322 EGY524322 EQU524322 FAQ524322 FKM524322 FUI524322 GEE524322 GOA524322 GXW524322 HHS524322 HRO524322 IBK524322 ILG524322 IVC524322 JEY524322 JOU524322 JYQ524322 KIM524322 KSI524322 LCE524322 LMA524322 LVW524322 MFS524322 MPO524322 MZK524322 NJG524322 NTC524322 OCY524322 OMU524322 OWQ524322 PGM524322 PQI524322 QAE524322 QKA524322 QTW524322 RDS524322 RNO524322 RXK524322 SHG524322 SRC524322 TAY524322 TKU524322 TUQ524322 UEM524322 UOI524322 UYE524322 VIA524322 VRW524322 WBS524322 WLO524322 WVK524322 C589858 IY589858 SU589858 ACQ589858 AMM589858 AWI589858 BGE589858 BQA589858 BZW589858 CJS589858 CTO589858 DDK589858 DNG589858 DXC589858 EGY589858 EQU589858 FAQ589858 FKM589858 FUI589858 GEE589858 GOA589858 GXW589858 HHS589858 HRO589858 IBK589858 ILG589858 IVC589858 JEY589858 JOU589858 JYQ589858 KIM589858 KSI589858 LCE589858 LMA589858 LVW589858 MFS589858 MPO589858 MZK589858 NJG589858 NTC589858 OCY589858 OMU589858 OWQ589858 PGM589858 PQI589858 QAE589858 QKA589858 QTW589858 RDS589858 RNO589858 RXK589858 SHG589858 SRC589858 TAY589858 TKU589858 TUQ589858 UEM589858 UOI589858 UYE589858 VIA589858 VRW589858 WBS589858 WLO589858 WVK589858 C655394 IY655394 SU655394 ACQ655394 AMM655394 AWI655394 BGE655394 BQA655394 BZW655394 CJS655394 CTO655394 DDK655394 DNG655394 DXC655394 EGY655394 EQU655394 FAQ655394 FKM655394 FUI655394 GEE655394 GOA655394 GXW655394 HHS655394 HRO655394 IBK655394 ILG655394 IVC655394 JEY655394 JOU655394 JYQ655394 KIM655394 KSI655394 LCE655394 LMA655394 LVW655394 MFS655394 MPO655394 MZK655394 NJG655394 NTC655394 OCY655394 OMU655394 OWQ655394 PGM655394 PQI655394 QAE655394 QKA655394 QTW655394 RDS655394 RNO655394 RXK655394 SHG655394 SRC655394 TAY655394 TKU655394 TUQ655394 UEM655394 UOI655394 UYE655394 VIA655394 VRW655394 WBS655394 WLO655394 WVK655394 C720930 IY720930 SU720930 ACQ720930 AMM720930 AWI720930 BGE720930 BQA720930 BZW720930 CJS720930 CTO720930 DDK720930 DNG720930 DXC720930 EGY720930 EQU720930 FAQ720930 FKM720930 FUI720930 GEE720930 GOA720930 GXW720930 HHS720930 HRO720930 IBK720930 ILG720930 IVC720930 JEY720930 JOU720930 JYQ720930 KIM720930 KSI720930 LCE720930 LMA720930 LVW720930 MFS720930 MPO720930 MZK720930 NJG720930 NTC720930 OCY720930 OMU720930 OWQ720930 PGM720930 PQI720930 QAE720930 QKA720930 QTW720930 RDS720930 RNO720930 RXK720930 SHG720930 SRC720930 TAY720930 TKU720930 TUQ720930 UEM720930 UOI720930 UYE720930 VIA720930 VRW720930 WBS720930 WLO720930 WVK720930 C786466 IY786466 SU786466 ACQ786466 AMM786466 AWI786466 BGE786466 BQA786466 BZW786466 CJS786466 CTO786466 DDK786466 DNG786466 DXC786466 EGY786466 EQU786466 FAQ786466 FKM786466 FUI786466 GEE786466 GOA786466 GXW786466 HHS786466 HRO786466 IBK786466 ILG786466 IVC786466 JEY786466 JOU786466 JYQ786466 KIM786466 KSI786466 LCE786466 LMA786466 LVW786466 MFS786466 MPO786466 MZK786466 NJG786466 NTC786466 OCY786466 OMU786466 OWQ786466 PGM786466 PQI786466 QAE786466 QKA786466 QTW786466 RDS786466 RNO786466 RXK786466 SHG786466 SRC786466 TAY786466 TKU786466 TUQ786466 UEM786466 UOI786466 UYE786466 VIA786466 VRW786466 WBS786466 WLO786466 WVK786466 C852002 IY852002 SU852002 ACQ852002 AMM852002 AWI852002 BGE852002 BQA852002 BZW852002 CJS852002 CTO852002 DDK852002 DNG852002 DXC852002 EGY852002 EQU852002 FAQ852002 FKM852002 FUI852002 GEE852002 GOA852002 GXW852002 HHS852002 HRO852002 IBK852002 ILG852002 IVC852002 JEY852002 JOU852002 JYQ852002 KIM852002 KSI852002 LCE852002 LMA852002 LVW852002 MFS852002 MPO852002 MZK852002 NJG852002 NTC852002 OCY852002 OMU852002 OWQ852002 PGM852002 PQI852002 QAE852002 QKA852002 QTW852002 RDS852002 RNO852002 RXK852002 SHG852002 SRC852002 TAY852002 TKU852002 TUQ852002 UEM852002 UOI852002 UYE852002 VIA852002 VRW852002 WBS852002 WLO852002 WVK852002 C917538 IY917538 SU917538 ACQ917538 AMM917538 AWI917538 BGE917538 BQA917538 BZW917538 CJS917538 CTO917538 DDK917538 DNG917538 DXC917538 EGY917538 EQU917538 FAQ917538 FKM917538 FUI917538 GEE917538 GOA917538 GXW917538 HHS917538 HRO917538 IBK917538 ILG917538 IVC917538 JEY917538 JOU917538 JYQ917538 KIM917538 KSI917538 LCE917538 LMA917538 LVW917538 MFS917538 MPO917538 MZK917538 NJG917538 NTC917538 OCY917538 OMU917538 OWQ917538 PGM917538 PQI917538 QAE917538 QKA917538 QTW917538 RDS917538 RNO917538 RXK917538 SHG917538 SRC917538 TAY917538 TKU917538 TUQ917538 UEM917538 UOI917538 UYE917538 VIA917538 VRW917538 WBS917538 WLO917538 WVK917538 C983074 IY983074 SU983074 ACQ983074 AMM983074 AWI983074 BGE983074 BQA983074 BZW983074 CJS983074 CTO983074 DDK983074 DNG983074 DXC983074 EGY983074 EQU983074 FAQ983074 FKM983074 FUI983074 GEE983074 GOA983074 GXW983074 HHS983074 HRO983074 IBK983074 ILG983074 IVC983074 JEY983074 JOU983074 JYQ983074 KIM983074 KSI983074 LCE983074 LMA983074 LVW983074 MFS983074 MPO983074 MZK983074 NJG983074 NTC983074 OCY983074 OMU983074 OWQ983074 PGM983074 PQI983074 QAE983074 QKA983074 QTW983074 RDS983074 RNO983074 RXK983074 SHG983074 SRC983074 TAY983074 TKU983074 TUQ983074 UEM983074 UOI983074 UYE983074 VIA983074 VRW983074 WBS983074 WLO983074 WVK983074">
      <formula1>$J$28:$O$28</formula1>
    </dataValidation>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formula1>$K$19:$V$19</formula1>
    </dataValidation>
    <dataValidation type="list" allowBlank="1" showInputMessage="1" showErrorMessage="1"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formula1>$K$25:$M$25</formula1>
    </dataValidation>
  </dataValidations>
  <hyperlinks>
    <hyperlink ref="E29" location="LUC!A1" display="Будь ласка, розрахуйте це значення, використовуючи аркуш LUC"/>
    <hyperlink ref="E30" location="Esca!A1" display="чи аркуш ESCA для модефікованих методик"/>
  </hyperlinks>
  <pageMargins left="0.7" right="0.7" top="0.75" bottom="0.75" header="0.3" footer="0.3"/>
  <drawing r:id="rId1"/>
  <legacyDrawing r:id="rId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29</vt:i4>
      </vt:variant>
    </vt:vector>
  </HeadingPairs>
  <TitlesOfParts>
    <vt:vector size="56" baseType="lpstr">
      <vt:lpstr>Опис</vt:lpstr>
      <vt:lpstr>About</vt:lpstr>
      <vt:lpstr>Каталог</vt:lpstr>
      <vt:lpstr>Directory </vt:lpstr>
      <vt:lpstr>ЗЗК (УкрВер)</vt:lpstr>
      <vt:lpstr>LUC (EnVer)</vt:lpstr>
      <vt:lpstr>Esca (УкрВер)</vt:lpstr>
      <vt:lpstr>Esca (EnVer)</vt:lpstr>
      <vt:lpstr>Викиди N2O згідно МГЕЗК</vt:lpstr>
      <vt:lpstr>N2O emissions IPCC </vt:lpstr>
      <vt:lpstr>Викиди N2O Приклад 1</vt:lpstr>
      <vt:lpstr>N2O emissions Example 1</vt:lpstr>
      <vt:lpstr>Розрахунок ефективності</vt:lpstr>
      <vt:lpstr>Calculate Efficiencies</vt:lpstr>
      <vt:lpstr>Е-ЦБ</vt:lpstr>
      <vt:lpstr>E-Sb</vt:lpstr>
      <vt:lpstr>Приклад 1</vt:lpstr>
      <vt:lpstr>Example 1</vt:lpstr>
      <vt:lpstr>Е-ПШ</vt:lpstr>
      <vt:lpstr>E-Wt (not.spec.)</vt:lpstr>
      <vt:lpstr>Е-КР</vt:lpstr>
      <vt:lpstr>E-Co</vt:lpstr>
      <vt:lpstr>F-Рк</vt:lpstr>
      <vt:lpstr>F-Rs</vt:lpstr>
      <vt:lpstr>Стандартні значення користувача</vt:lpstr>
      <vt:lpstr>User defined standard values</vt:lpstr>
      <vt:lpstr>Standard values</vt:lpstr>
      <vt:lpstr>agro_inputs</vt:lpstr>
      <vt:lpstr>chemicals</vt:lpstr>
      <vt:lpstr>EF_agro_inputs</vt:lpstr>
      <vt:lpstr>EF_chemicals_kg</vt:lpstr>
      <vt:lpstr>EF_chemicals_MJ</vt:lpstr>
      <vt:lpstr>EF_electricity</vt:lpstr>
      <vt:lpstr>EF_fuels_MJ</vt:lpstr>
      <vt:lpstr>electricity</vt:lpstr>
      <vt:lpstr>FE_transport</vt:lpstr>
      <vt:lpstr>fuels</vt:lpstr>
      <vt:lpstr>LHV_fuels</vt:lpstr>
      <vt:lpstr>LHV_solids</vt:lpstr>
      <vt:lpstr>Option_A_0_B_1</vt:lpstr>
      <vt:lpstr>solids</vt:lpstr>
      <vt:lpstr>Transport</vt:lpstr>
      <vt:lpstr>About!Область_печати</vt:lpstr>
      <vt:lpstr>'Directory '!Область_печати</vt:lpstr>
      <vt:lpstr>'E-Co'!Область_печати</vt:lpstr>
      <vt:lpstr>'E-Sb'!Область_печати</vt:lpstr>
      <vt:lpstr>'E-Wt (not.spec.)'!Область_печати</vt:lpstr>
      <vt:lpstr>'Example 1'!Область_печати</vt:lpstr>
      <vt:lpstr>'F-Rs'!Область_печати</vt:lpstr>
      <vt:lpstr>'F-Рк'!Область_печати</vt:lpstr>
      <vt:lpstr>'Standard values'!Область_печати</vt:lpstr>
      <vt:lpstr>'User defined standard values'!Область_печати</vt:lpstr>
      <vt:lpstr>'Е-КР'!Область_печати</vt:lpstr>
      <vt:lpstr>'Е-ПШ'!Область_печати</vt:lpstr>
      <vt:lpstr>'Е-ЦБ'!Область_печати</vt:lpstr>
      <vt:lpstr>'Стандартні значення користувача'!Область_печати</vt:lpstr>
    </vt:vector>
  </TitlesOfParts>
  <Company>Senter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Neeft</dc:creator>
  <cp:lastModifiedBy>Дубович</cp:lastModifiedBy>
  <cp:lastPrinted>2010-11-12T14:44:52Z</cp:lastPrinted>
  <dcterms:created xsi:type="dcterms:W3CDTF">2008-11-26T21:14:37Z</dcterms:created>
  <dcterms:modified xsi:type="dcterms:W3CDTF">2016-02-24T09:27:56Z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ijzigingenBijhoudenAan">
    <vt:bool>false</vt:bool>
  </property>
  <property fmtid="{D5CDD505-2E9C-101B-9397-08002B2CF9AE}" pid="3" name="_AdHocReviewCycleID">
    <vt:i4>1144144097</vt:i4>
  </property>
  <property fmtid="{D5CDD505-2E9C-101B-9397-08002B2CF9AE}" pid="4" name="_EmailSubject">
    <vt:lpwstr>BioGrace GHG excel tool - Public version 4</vt:lpwstr>
  </property>
  <property fmtid="{D5CDD505-2E9C-101B-9397-08002B2CF9AE}" pid="5" name="_AuthorEmail">
    <vt:lpwstr>john.neeft@agentschapnl.nl</vt:lpwstr>
  </property>
  <property fmtid="{D5CDD505-2E9C-101B-9397-08002B2CF9AE}" pid="6" name="_AuthorEmailDisplayName">
    <vt:lpwstr>Neeft, John</vt:lpwstr>
  </property>
  <property fmtid="{D5CDD505-2E9C-101B-9397-08002B2CF9AE}" pid="7" name="_ReviewingToolsShownOnce">
    <vt:lpwstr/>
  </property>
  <property fmtid="{D5CDD505-2E9C-101B-9397-08002B2CF9AE}" pid="8" name="SaveCode">
    <vt:r8>414150416851043</vt:r8>
  </property>
</Properties>
</file>