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Калькулятор новий" sheetId="4" r:id="rId1"/>
    <sheet name="ОСББ" sheetId="5" state="hidden" r:id="rId2"/>
    <sheet name="Вхідні дані" sheetId="13" state="hidden" r:id="rId3"/>
    <sheet name="Фінансовий потік" sheetId="12" state="hidden" r:id="rId4"/>
    <sheet name="Розрахунки" sheetId="6" state="hidden" r:id="rId5"/>
    <sheet name="Регіони" sheetId="7" state="hidden" r:id="rId6"/>
    <sheet name="Тарифи" sheetId="8" state="hidden" r:id="rId7"/>
    <sheet name="Фінансовий потік Х" sheetId="9" state="hidden" r:id="rId8"/>
    <sheet name="Умови кредитування" sheetId="16" state="hidden" r:id="rId9"/>
    <sheet name="Порівняння платежів" sheetId="14" state="hidden" r:id="rId10"/>
    <sheet name="Порівняння щомісячних платежів " sheetId="15" state="hidden" r:id="rId11"/>
    <sheet name="Тарифи ЦО" sheetId="17" state="hidden" r:id="rId12"/>
    <sheet name="Перелік областей" sheetId="18" state="hidden" r:id="rId13"/>
  </sheets>
  <externalReferences>
    <externalReference r:id="rId14"/>
  </externalReferences>
  <definedNames>
    <definedName name="Банки">'Умови кредитування'!$B$2:$B$6</definedName>
    <definedName name="Вінницька">'Тарифи ЦО'!$A$4:$A$9</definedName>
    <definedName name="Вінницька_область">#REF!</definedName>
    <definedName name="Волинська">'Тарифи ЦО'!$A$11:$A$16</definedName>
    <definedName name="Волинська_область">#REF!</definedName>
    <definedName name="Газовий_котел">#REF!</definedName>
    <definedName name="Дизельний_котел">#REF!</definedName>
    <definedName name="Дніпропетровська">'Тарифи ЦО'!$A$18:$A$36</definedName>
    <definedName name="Дніпропетровська_область">#REF!</definedName>
    <definedName name="Донецька">'Тарифи ЦО'!$A$39:$A$57</definedName>
    <definedName name="Донецька_область">#REF!</definedName>
    <definedName name="Дореволюционные" localSheetId="1">ОСББ!$B$2</definedName>
    <definedName name="Електричний_котел">#REF!</definedName>
    <definedName name="Житомирська">'Тарифи ЦО'!$A$59:$A$64</definedName>
    <definedName name="Житомирська_область">#REF!</definedName>
    <definedName name="Запорізька">'Тарифи ЦО'!$A$66:$A$72</definedName>
    <definedName name="Запорізька_область">#REF!</definedName>
    <definedName name="Заходи_з_енергозбереження">ОСББ!$C$16:$C$24</definedName>
    <definedName name="Івано_Франківська">'Тарифи ЦО'!$A$74:$A$77</definedName>
    <definedName name="Івано_Франківська_область">#REF!</definedName>
    <definedName name="Київ">'Тарифи ЦО'!$A$92:$A$95</definedName>
    <definedName name="Київська">'Тарифи ЦО'!$A$79:$A$90</definedName>
    <definedName name="Київська_область">#REF!</definedName>
    <definedName name="Кількість_поверхів">ОСББ!$A$16:$A$52</definedName>
    <definedName name="Кіровоградська">'Тарифи ЦО'!$A$97:$A$102</definedName>
    <definedName name="Кіровоградська_область">#REF!</definedName>
    <definedName name="Компанії">'Тарифи ЦО'!$A$3:$A$231</definedName>
    <definedName name="Котли">#REF!</definedName>
    <definedName name="Котли1">#REF!</definedName>
    <definedName name="Луганська">'Тарифи ЦО'!$A$104:$A$114</definedName>
    <definedName name="Луганська_область">#REF!</definedName>
    <definedName name="Львівська">'Тарифи ЦО'!$A$116:$A$130</definedName>
    <definedName name="Львівська_область">#REF!</definedName>
    <definedName name="м._Київ">#REF!</definedName>
    <definedName name="Миколаївська">'Тарифи ЦО'!$A$132:$A$136</definedName>
    <definedName name="Миколаївська_область">#REF!</definedName>
    <definedName name="Області">'Перелік областей'!$A$1:$A$25</definedName>
    <definedName name="Одеська">'Тарифи ЦО'!$A$138:$A$145</definedName>
    <definedName name="Одеська_область">#REF!</definedName>
    <definedName name="Полтавська">'Тарифи ЦО'!$A$147:$A$154</definedName>
    <definedName name="Полтавська_область">#REF!</definedName>
    <definedName name="Регіони">Регіони!$B$3:$B$27</definedName>
    <definedName name="Рівненська">'Тарифи ЦО'!$A$156:$A$161</definedName>
    <definedName name="Рівненська_область">#REF!</definedName>
    <definedName name="Строк_кредиту">#REF!</definedName>
    <definedName name="Сумська">'Тарифи ЦО'!$A$163:$A$174</definedName>
    <definedName name="Сумська_область">#REF!</definedName>
    <definedName name="таня">#REF!</definedName>
    <definedName name="Твердопаливний_котел">#REF!</definedName>
    <definedName name="Тернопільська">'Тарифи ЦО'!$A$176:$A$178</definedName>
    <definedName name="Тернопільська_область">#REF!</definedName>
    <definedName name="Тип_будинку">ОСББ!$B$2:$B$10</definedName>
    <definedName name="Тип_фінансування">Розрахунки!$B$19:$B$20</definedName>
    <definedName name="Харківська">'Тарифи ЦО'!$A$180:$A$194</definedName>
    <definedName name="Харківська_область">#REF!</definedName>
    <definedName name="Херсонська">'Тарифи ЦО'!$A$196:$A$200</definedName>
    <definedName name="Херсонська_область">#REF!</definedName>
    <definedName name="Хмельницька">'Тарифи ЦО'!$A$202:$A$210</definedName>
    <definedName name="Хмельницька_область">#REF!</definedName>
    <definedName name="Централізоване">#REF!</definedName>
    <definedName name="Черкаська">'Тарифи ЦО'!$A$212:$A$220</definedName>
    <definedName name="Черкаська_область">#REF!</definedName>
    <definedName name="Чернівецька">'Тарифи ЦО'!$A$222:$A$223</definedName>
    <definedName name="Чернівецька_область">#REF!</definedName>
    <definedName name="Чернігівська">'Тарифи ЦО'!$A$225:$A$229</definedName>
    <definedName name="Чернігівська_область">#REF!</definedName>
  </definedNames>
  <calcPr calcId="144525"/>
</workbook>
</file>

<file path=xl/calcChain.xml><?xml version="1.0" encoding="utf-8"?>
<calcChain xmlns="http://schemas.openxmlformats.org/spreadsheetml/2006/main">
  <c r="D4" i="16" l="1"/>
  <c r="D3" i="16"/>
  <c r="G31" i="5" l="1"/>
  <c r="D52" i="5" s="1"/>
  <c r="G59" i="5"/>
  <c r="B70" i="4"/>
  <c r="C37" i="12"/>
  <c r="D37" i="12"/>
  <c r="B18" i="13" l="1"/>
  <c r="A238" i="17"/>
  <c r="B25" i="13"/>
  <c r="B22" i="13"/>
  <c r="B24" i="13"/>
  <c r="D2" i="16"/>
  <c r="B42" i="13"/>
  <c r="B6" i="13" s="1"/>
  <c r="B7" i="13" s="1"/>
  <c r="G3" i="6"/>
  <c r="B37" i="13"/>
  <c r="B36" i="13"/>
  <c r="B2" i="13" l="1"/>
  <c r="A1" i="18"/>
  <c r="A2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C8" i="17"/>
  <c r="C16" i="17"/>
  <c r="C22" i="17"/>
  <c r="C48" i="17"/>
  <c r="C68" i="17"/>
  <c r="C71" i="17"/>
  <c r="C72" i="17"/>
  <c r="C75" i="17"/>
  <c r="C77" i="17"/>
  <c r="C89" i="17"/>
  <c r="C105" i="17"/>
  <c r="C107" i="17"/>
  <c r="C108" i="17"/>
  <c r="C110" i="17"/>
  <c r="C126" i="17"/>
  <c r="C127" i="17"/>
  <c r="C141" i="17"/>
  <c r="G3" i="14"/>
  <c r="G4" i="14"/>
  <c r="G6" i="14"/>
  <c r="G7" i="14"/>
  <c r="G9" i="14"/>
  <c r="G10" i="14"/>
  <c r="G12" i="14"/>
  <c r="G13" i="14"/>
  <c r="G15" i="14"/>
  <c r="G16" i="14"/>
  <c r="G18" i="14"/>
  <c r="G19" i="14"/>
  <c r="G21" i="14"/>
  <c r="G22" i="14"/>
  <c r="G24" i="14"/>
  <c r="G25" i="14"/>
  <c r="G27" i="14"/>
  <c r="G28" i="14"/>
  <c r="G30" i="14"/>
  <c r="G31" i="14"/>
  <c r="A34" i="14"/>
  <c r="A35" i="14"/>
  <c r="A36" i="14"/>
  <c r="A37" i="14"/>
  <c r="A38" i="14"/>
  <c r="A39" i="14"/>
  <c r="A40" i="14"/>
  <c r="A41" i="14"/>
  <c r="A42" i="14"/>
  <c r="A43" i="14"/>
  <c r="B20" i="13"/>
  <c r="C1" i="12"/>
  <c r="D1" i="12" s="1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AG1" i="12" s="1"/>
  <c r="AH1" i="12" s="1"/>
  <c r="AI1" i="12" s="1"/>
  <c r="AJ1" i="12" s="1"/>
  <c r="AK1" i="12" s="1"/>
  <c r="AL1" i="12" s="1"/>
  <c r="AM1" i="12" s="1"/>
  <c r="AN1" i="12" s="1"/>
  <c r="AO1" i="12" s="1"/>
  <c r="AP1" i="12" s="1"/>
  <c r="AQ1" i="12" s="1"/>
  <c r="AR1" i="12" s="1"/>
  <c r="AS1" i="12" s="1"/>
  <c r="AT1" i="12" s="1"/>
  <c r="AU1" i="12" s="1"/>
  <c r="AV1" i="12" s="1"/>
  <c r="AW1" i="12" s="1"/>
  <c r="AX1" i="12" s="1"/>
  <c r="AY1" i="12" s="1"/>
  <c r="AZ1" i="12" s="1"/>
  <c r="BA1" i="12" s="1"/>
  <c r="BB1" i="12" s="1"/>
  <c r="BC1" i="12" s="1"/>
  <c r="BD1" i="12" s="1"/>
  <c r="BE1" i="12" s="1"/>
  <c r="BF1" i="12" s="1"/>
  <c r="BG1" i="12" s="1"/>
  <c r="BH1" i="12" s="1"/>
  <c r="BI1" i="12" s="1"/>
  <c r="BJ1" i="12" s="1"/>
  <c r="BK1" i="12" s="1"/>
  <c r="BL1" i="12" s="1"/>
  <c r="BM1" i="12" s="1"/>
  <c r="BN1" i="12" s="1"/>
  <c r="B10" i="12"/>
  <c r="C10" i="12"/>
  <c r="D10" i="12"/>
  <c r="C12" i="12"/>
  <c r="D12" i="12"/>
  <c r="C24" i="12"/>
  <c r="D24" i="12"/>
  <c r="B40" i="13" l="1"/>
  <c r="B38" i="13" s="1"/>
  <c r="B8" i="13"/>
  <c r="F8" i="12"/>
  <c r="H8" i="12"/>
  <c r="J8" i="12"/>
  <c r="L8" i="12"/>
  <c r="N8" i="12"/>
  <c r="P8" i="12"/>
  <c r="E8" i="12"/>
  <c r="G8" i="12"/>
  <c r="I8" i="12"/>
  <c r="K8" i="12"/>
  <c r="M8" i="12"/>
  <c r="O8" i="12"/>
  <c r="BO1" i="12"/>
  <c r="B9" i="13" l="1"/>
  <c r="R8" i="12"/>
  <c r="T8" i="12"/>
  <c r="V8" i="12"/>
  <c r="X8" i="12"/>
  <c r="Z8" i="12"/>
  <c r="AB8" i="12"/>
  <c r="Q8" i="12"/>
  <c r="S8" i="12"/>
  <c r="U8" i="12"/>
  <c r="W8" i="12"/>
  <c r="Y8" i="12"/>
  <c r="AA8" i="12"/>
  <c r="C4" i="14"/>
  <c r="BP1" i="12"/>
  <c r="AE8" i="12" l="1"/>
  <c r="AI8" i="12"/>
  <c r="AM8" i="12"/>
  <c r="AQ8" i="12"/>
  <c r="AU8" i="12"/>
  <c r="AY8" i="12"/>
  <c r="BC8" i="12"/>
  <c r="BG8" i="12"/>
  <c r="BK8" i="12"/>
  <c r="BO8" i="12"/>
  <c r="BS8" i="12"/>
  <c r="BW8" i="12"/>
  <c r="CA8" i="12"/>
  <c r="CE8" i="12"/>
  <c r="CI8" i="12"/>
  <c r="CM8" i="12"/>
  <c r="CQ8" i="12"/>
  <c r="CU8" i="12"/>
  <c r="CY8" i="12"/>
  <c r="DC8" i="12"/>
  <c r="DG8" i="12"/>
  <c r="DK8" i="12"/>
  <c r="DO8" i="12"/>
  <c r="DS8" i="12"/>
  <c r="DW8" i="12"/>
  <c r="EA8" i="12"/>
  <c r="EE8" i="12"/>
  <c r="EI8" i="12"/>
  <c r="EM8" i="12"/>
  <c r="EQ8" i="12"/>
  <c r="EU8" i="12"/>
  <c r="EY8" i="12"/>
  <c r="FC8" i="12"/>
  <c r="FG8" i="12"/>
  <c r="FK8" i="12"/>
  <c r="FO8" i="12"/>
  <c r="FS8" i="12"/>
  <c r="FW8" i="12"/>
  <c r="GA8" i="12"/>
  <c r="GE8" i="12"/>
  <c r="GI8" i="12"/>
  <c r="GM8" i="12"/>
  <c r="GQ8" i="12"/>
  <c r="GU8" i="12"/>
  <c r="GY8" i="12"/>
  <c r="HC8" i="12"/>
  <c r="HG8" i="12"/>
  <c r="HK8" i="12"/>
  <c r="HO8" i="12"/>
  <c r="HS8" i="12"/>
  <c r="HW8" i="12"/>
  <c r="IA8" i="12"/>
  <c r="IE8" i="12"/>
  <c r="AD8" i="12"/>
  <c r="AH8" i="12"/>
  <c r="AL8" i="12"/>
  <c r="AP8" i="12"/>
  <c r="AT8" i="12"/>
  <c r="AX8" i="12"/>
  <c r="BB8" i="12"/>
  <c r="BF8" i="12"/>
  <c r="BJ8" i="12"/>
  <c r="BN8" i="12"/>
  <c r="BR8" i="12"/>
  <c r="BV8" i="12"/>
  <c r="BZ8" i="12"/>
  <c r="CD8" i="12"/>
  <c r="CH8" i="12"/>
  <c r="CL8" i="12"/>
  <c r="CP8" i="12"/>
  <c r="CT8" i="12"/>
  <c r="CX8" i="12"/>
  <c r="DB8" i="12"/>
  <c r="DF8" i="12"/>
  <c r="DJ8" i="12"/>
  <c r="DN8" i="12"/>
  <c r="DR8" i="12"/>
  <c r="DV8" i="12"/>
  <c r="DZ8" i="12"/>
  <c r="ED8" i="12"/>
  <c r="EH8" i="12"/>
  <c r="EL8" i="12"/>
  <c r="EP8" i="12"/>
  <c r="ET8" i="12"/>
  <c r="EX8" i="12"/>
  <c r="FB8" i="12"/>
  <c r="FF8" i="12"/>
  <c r="FJ8" i="12"/>
  <c r="FN8" i="12"/>
  <c r="FR8" i="12"/>
  <c r="FV8" i="12"/>
  <c r="FZ8" i="12"/>
  <c r="GD8" i="12"/>
  <c r="GH8" i="12"/>
  <c r="GL8" i="12"/>
  <c r="GP8" i="12"/>
  <c r="GT8" i="12"/>
  <c r="GX8" i="12"/>
  <c r="HB8" i="12"/>
  <c r="HF8" i="12"/>
  <c r="HJ8" i="12"/>
  <c r="HN8" i="12"/>
  <c r="HR8" i="12"/>
  <c r="HV8" i="12"/>
  <c r="HZ8" i="12"/>
  <c r="ID8" i="12"/>
  <c r="AC8" i="12"/>
  <c r="AG8" i="12"/>
  <c r="AK8" i="12"/>
  <c r="AO8" i="12"/>
  <c r="AS8" i="12"/>
  <c r="AW8" i="12"/>
  <c r="BA8" i="12"/>
  <c r="BE8" i="12"/>
  <c r="BI8" i="12"/>
  <c r="BM8" i="12"/>
  <c r="BQ8" i="12"/>
  <c r="BU8" i="12"/>
  <c r="BY8" i="12"/>
  <c r="CC8" i="12"/>
  <c r="CG8" i="12"/>
  <c r="CK8" i="12"/>
  <c r="CO8" i="12"/>
  <c r="CS8" i="12"/>
  <c r="CW8" i="12"/>
  <c r="DA8" i="12"/>
  <c r="DE8" i="12"/>
  <c r="DI8" i="12"/>
  <c r="DM8" i="12"/>
  <c r="DQ8" i="12"/>
  <c r="DU8" i="12"/>
  <c r="DY8" i="12"/>
  <c r="EC8" i="12"/>
  <c r="EG8" i="12"/>
  <c r="EK8" i="12"/>
  <c r="EO8" i="12"/>
  <c r="ES8" i="12"/>
  <c r="EW8" i="12"/>
  <c r="FA8" i="12"/>
  <c r="FE8" i="12"/>
  <c r="FI8" i="12"/>
  <c r="FM8" i="12"/>
  <c r="FQ8" i="12"/>
  <c r="FU8" i="12"/>
  <c r="FY8" i="12"/>
  <c r="GC8" i="12"/>
  <c r="GG8" i="12"/>
  <c r="GK8" i="12"/>
  <c r="GO8" i="12"/>
  <c r="GS8" i="12"/>
  <c r="GW8" i="12"/>
  <c r="HA8" i="12"/>
  <c r="HE8" i="12"/>
  <c r="HI8" i="12"/>
  <c r="HM8" i="12"/>
  <c r="HQ8" i="12"/>
  <c r="HU8" i="12"/>
  <c r="HY8" i="12"/>
  <c r="IC8" i="12"/>
  <c r="IG8" i="12"/>
  <c r="AF8" i="12"/>
  <c r="AJ8" i="12"/>
  <c r="AN8" i="12"/>
  <c r="AR8" i="12"/>
  <c r="AV8" i="12"/>
  <c r="AZ8" i="12"/>
  <c r="BD8" i="12"/>
  <c r="BH8" i="12"/>
  <c r="BL8" i="12"/>
  <c r="BP8" i="12"/>
  <c r="BT8" i="12"/>
  <c r="BX8" i="12"/>
  <c r="CB8" i="12"/>
  <c r="CF8" i="12"/>
  <c r="CJ8" i="12"/>
  <c r="CN8" i="12"/>
  <c r="CR8" i="12"/>
  <c r="CV8" i="12"/>
  <c r="CZ8" i="12"/>
  <c r="DD8" i="12"/>
  <c r="DH8" i="12"/>
  <c r="DL8" i="12"/>
  <c r="DP8" i="12"/>
  <c r="DT8" i="12"/>
  <c r="DX8" i="12"/>
  <c r="EB8" i="12"/>
  <c r="EF8" i="12"/>
  <c r="EJ8" i="12"/>
  <c r="EN8" i="12"/>
  <c r="ER8" i="12"/>
  <c r="EV8" i="12"/>
  <c r="EZ8" i="12"/>
  <c r="FD8" i="12"/>
  <c r="FH8" i="12"/>
  <c r="FL8" i="12"/>
  <c r="FP8" i="12"/>
  <c r="FT8" i="12"/>
  <c r="FX8" i="12"/>
  <c r="GB8" i="12"/>
  <c r="GF8" i="12"/>
  <c r="GJ8" i="12"/>
  <c r="GN8" i="12"/>
  <c r="GR8" i="12"/>
  <c r="GV8" i="12"/>
  <c r="GZ8" i="12"/>
  <c r="HD8" i="12"/>
  <c r="HH8" i="12"/>
  <c r="HL8" i="12"/>
  <c r="HP8" i="12"/>
  <c r="HT8" i="12"/>
  <c r="HX8" i="12"/>
  <c r="IB8" i="12"/>
  <c r="IF8" i="12"/>
  <c r="C4" i="15"/>
  <c r="C34" i="14"/>
  <c r="C7" i="14"/>
  <c r="BQ1" i="12"/>
  <c r="C7" i="15" l="1"/>
  <c r="C35" i="14"/>
  <c r="C31" i="14"/>
  <c r="C25" i="14"/>
  <c r="C19" i="14"/>
  <c r="C13" i="14"/>
  <c r="C28" i="14"/>
  <c r="C22" i="14"/>
  <c r="C16" i="14"/>
  <c r="C10" i="14"/>
  <c r="BR1" i="12"/>
  <c r="C10" i="15" l="1"/>
  <c r="C36" i="14"/>
  <c r="C16" i="15"/>
  <c r="C38" i="14"/>
  <c r="C22" i="15"/>
  <c r="C40" i="14"/>
  <c r="C28" i="15"/>
  <c r="C42" i="14"/>
  <c r="C13" i="15"/>
  <c r="C37" i="14"/>
  <c r="C19" i="15"/>
  <c r="C39" i="14"/>
  <c r="C25" i="15"/>
  <c r="C41" i="14"/>
  <c r="C31" i="15"/>
  <c r="C43" i="14"/>
  <c r="BS1" i="12"/>
  <c r="BT1" i="12" l="1"/>
  <c r="BU1" i="12" l="1"/>
  <c r="BV1" i="12" l="1"/>
  <c r="BW1" i="12" l="1"/>
  <c r="BX1" i="12" l="1"/>
  <c r="BY1" i="12" l="1"/>
  <c r="BZ1" i="12" l="1"/>
  <c r="CA1" i="12" l="1"/>
  <c r="CB1" i="12" l="1"/>
  <c r="CC1" i="12" l="1"/>
  <c r="CD1" i="12" l="1"/>
  <c r="CE1" i="12" l="1"/>
  <c r="CF1" i="12" l="1"/>
  <c r="CG1" i="12" l="1"/>
  <c r="CH1" i="12" l="1"/>
  <c r="CI1" i="12" l="1"/>
  <c r="CJ1" i="12" l="1"/>
  <c r="C2" i="9"/>
  <c r="S5" i="9"/>
  <c r="R8" i="9"/>
  <c r="G10" i="9"/>
  <c r="H10" i="9" s="1"/>
  <c r="G12" i="9"/>
  <c r="H12" i="9" s="1"/>
  <c r="I12" i="9" s="1"/>
  <c r="J12" i="9" s="1"/>
  <c r="F13" i="9"/>
  <c r="F51" i="9" s="1"/>
  <c r="F15" i="9"/>
  <c r="G15" i="9" s="1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BB15" i="9" s="1"/>
  <c r="BC15" i="9" s="1"/>
  <c r="BD15" i="9" s="1"/>
  <c r="BE15" i="9" s="1"/>
  <c r="BF15" i="9" s="1"/>
  <c r="G16" i="9"/>
  <c r="G13" i="9" s="1"/>
  <c r="G52" i="9" s="1"/>
  <c r="H56" i="9"/>
  <c r="E3" i="6"/>
  <c r="F3" i="6"/>
  <c r="H3" i="6"/>
  <c r="B3" i="6" s="1"/>
  <c r="B8" i="6"/>
  <c r="C8" i="6"/>
  <c r="D8" i="6"/>
  <c r="C19" i="6"/>
  <c r="C20" i="6"/>
  <c r="D23" i="6" s="1"/>
  <c r="F17" i="5"/>
  <c r="E17" i="5" s="1"/>
  <c r="F18" i="5"/>
  <c r="E18" i="5" s="1"/>
  <c r="F19" i="5"/>
  <c r="E19" i="5" s="1"/>
  <c r="F20" i="5"/>
  <c r="E20" i="5" s="1"/>
  <c r="F21" i="5"/>
  <c r="E21" i="5" s="1"/>
  <c r="F22" i="5"/>
  <c r="E22" i="5" s="1"/>
  <c r="F23" i="5"/>
  <c r="E23" i="5" s="1"/>
  <c r="F24" i="5"/>
  <c r="E24" i="5" s="1"/>
  <c r="F25" i="5"/>
  <c r="E25" i="5" s="1"/>
  <c r="D28" i="5"/>
  <c r="D29" i="5" s="1"/>
  <c r="D34" i="5" s="1"/>
  <c r="D30" i="5"/>
  <c r="D43" i="5"/>
  <c r="D45" i="5" s="1"/>
  <c r="D46" i="5" s="1"/>
  <c r="D47" i="5"/>
  <c r="D55" i="5"/>
  <c r="D56" i="5" s="1"/>
  <c r="D57" i="5" s="1"/>
  <c r="D60" i="5"/>
  <c r="D61" i="5" s="1"/>
  <c r="D64" i="5"/>
  <c r="D65" i="5" s="1"/>
  <c r="A11" i="4"/>
  <c r="B11" i="4"/>
  <c r="C11" i="4"/>
  <c r="D11" i="4"/>
  <c r="B84" i="4"/>
  <c r="I10" i="9" l="1"/>
  <c r="I21" i="9"/>
  <c r="H21" i="9"/>
  <c r="H16" i="9"/>
  <c r="H13" i="9" s="1"/>
  <c r="H52" i="9" s="1"/>
  <c r="C23" i="6"/>
  <c r="E23" i="6"/>
  <c r="F20" i="6" s="1"/>
  <c r="M25" i="5"/>
  <c r="G25" i="5"/>
  <c r="H36" i="5"/>
  <c r="G30" i="5"/>
  <c r="H30" i="5" s="1"/>
  <c r="G34" i="5"/>
  <c r="H34" i="5" s="1"/>
  <c r="M23" i="5"/>
  <c r="H26" i="5"/>
  <c r="B3" i="13" s="1"/>
  <c r="B4" i="13" s="1"/>
  <c r="B41" i="13" s="1"/>
  <c r="B39" i="13" s="1"/>
  <c r="G32" i="5"/>
  <c r="H32" i="5" s="1"/>
  <c r="M21" i="5"/>
  <c r="G44" i="5"/>
  <c r="G50" i="5"/>
  <c r="D35" i="5"/>
  <c r="G35" i="5" s="1"/>
  <c r="H35" i="5" s="1"/>
  <c r="D36" i="5"/>
  <c r="D37" i="5" s="1"/>
  <c r="D38" i="5" s="1"/>
  <c r="G51" i="5" s="1"/>
  <c r="M24" i="5"/>
  <c r="M22" i="5"/>
  <c r="M20" i="5"/>
  <c r="M18" i="5"/>
  <c r="M17" i="5"/>
  <c r="G33" i="5"/>
  <c r="H33" i="5" s="1"/>
  <c r="D31" i="5"/>
  <c r="D32" i="5" s="1"/>
  <c r="B10" i="13" s="1"/>
  <c r="B11" i="13" s="1"/>
  <c r="B12" i="13" s="1"/>
  <c r="CK1" i="12"/>
  <c r="K12" i="9"/>
  <c r="L12" i="9" s="1"/>
  <c r="J10" i="9"/>
  <c r="J21" i="9"/>
  <c r="I16" i="9"/>
  <c r="B85" i="4"/>
  <c r="B86" i="4"/>
  <c r="G23" i="5"/>
  <c r="G22" i="5"/>
  <c r="G21" i="5"/>
  <c r="G20" i="5"/>
  <c r="D51" i="5" s="1"/>
  <c r="C3" i="6"/>
  <c r="J3" i="6"/>
  <c r="G18" i="5"/>
  <c r="G29" i="5"/>
  <c r="H29" i="5" s="1"/>
  <c r="H28" i="5"/>
  <c r="G17" i="5"/>
  <c r="G28" i="5"/>
  <c r="H31" i="5"/>
  <c r="M19" i="5"/>
  <c r="G24" i="5" l="1"/>
  <c r="I24" i="5" s="1"/>
  <c r="J29" i="5" s="1"/>
  <c r="M26" i="5"/>
  <c r="G60" i="5" s="1"/>
  <c r="L11" i="12"/>
  <c r="O11" i="12"/>
  <c r="IC11" i="12"/>
  <c r="HU11" i="12"/>
  <c r="HM11" i="12"/>
  <c r="HE11" i="12"/>
  <c r="GW11" i="12"/>
  <c r="GO11" i="12"/>
  <c r="GG11" i="12"/>
  <c r="FY11" i="12"/>
  <c r="FQ11" i="12"/>
  <c r="FI11" i="12"/>
  <c r="FA11" i="12"/>
  <c r="ES11" i="12"/>
  <c r="EK11" i="12"/>
  <c r="EC11" i="12"/>
  <c r="DU11" i="12"/>
  <c r="DM11" i="12"/>
  <c r="DE11" i="12"/>
  <c r="CW11" i="12"/>
  <c r="CO11" i="12"/>
  <c r="CG11" i="12"/>
  <c r="BY11" i="12"/>
  <c r="BQ11" i="12"/>
  <c r="BI11" i="12"/>
  <c r="G11" i="12"/>
  <c r="Q11" i="12"/>
  <c r="IE11" i="12"/>
  <c r="HW11" i="12"/>
  <c r="HO11" i="12"/>
  <c r="HG11" i="12"/>
  <c r="GY11" i="12"/>
  <c r="GQ11" i="12"/>
  <c r="GI11" i="12"/>
  <c r="GA11" i="12"/>
  <c r="FS11" i="12"/>
  <c r="FK11" i="12"/>
  <c r="FC11" i="12"/>
  <c r="EU11" i="12"/>
  <c r="EM11" i="12"/>
  <c r="EE11" i="12"/>
  <c r="DW11" i="12"/>
  <c r="DO11" i="12"/>
  <c r="DG11" i="12"/>
  <c r="CY11" i="12"/>
  <c r="CQ11" i="12"/>
  <c r="CI11" i="12"/>
  <c r="CA11" i="12"/>
  <c r="BS11" i="12"/>
  <c r="BK11" i="12"/>
  <c r="BE11" i="12"/>
  <c r="BA11" i="12"/>
  <c r="AW11" i="12"/>
  <c r="AS11" i="12"/>
  <c r="AO11" i="12"/>
  <c r="AK11" i="12"/>
  <c r="AG11" i="12"/>
  <c r="AC11" i="12"/>
  <c r="Y11" i="12"/>
  <c r="U11" i="12"/>
  <c r="D11" i="12"/>
  <c r="D38" i="12" s="1"/>
  <c r="K11" i="12"/>
  <c r="R11" i="12"/>
  <c r="N11" i="12"/>
  <c r="IF11" i="12"/>
  <c r="IB11" i="12"/>
  <c r="HX11" i="12"/>
  <c r="HT11" i="12"/>
  <c r="HP11" i="12"/>
  <c r="HL11" i="12"/>
  <c r="HH11" i="12"/>
  <c r="HD11" i="12"/>
  <c r="GZ11" i="12"/>
  <c r="GV11" i="12"/>
  <c r="GR11" i="12"/>
  <c r="GN11" i="12"/>
  <c r="GJ11" i="12"/>
  <c r="GF11" i="12"/>
  <c r="GB11" i="12"/>
  <c r="FX11" i="12"/>
  <c r="FT11" i="12"/>
  <c r="FP11" i="12"/>
  <c r="FL11" i="12"/>
  <c r="FH11" i="12"/>
  <c r="FD11" i="12"/>
  <c r="EZ11" i="12"/>
  <c r="EV11" i="12"/>
  <c r="ER11" i="12"/>
  <c r="EN11" i="12"/>
  <c r="EJ11" i="12"/>
  <c r="EF11" i="12"/>
  <c r="EB11" i="12"/>
  <c r="DX11" i="12"/>
  <c r="DT11" i="12"/>
  <c r="DP11" i="12"/>
  <c r="DL11" i="12"/>
  <c r="DH11" i="12"/>
  <c r="DD11" i="12"/>
  <c r="CZ11" i="12"/>
  <c r="CV11" i="12"/>
  <c r="CR11" i="12"/>
  <c r="CN11" i="12"/>
  <c r="CJ11" i="12"/>
  <c r="CF11" i="12"/>
  <c r="CB11" i="12"/>
  <c r="BX11" i="12"/>
  <c r="BT11" i="12"/>
  <c r="BP11" i="12"/>
  <c r="BL11" i="12"/>
  <c r="BH11" i="12"/>
  <c r="BD11" i="12"/>
  <c r="AZ11" i="12"/>
  <c r="AV11" i="12"/>
  <c r="AR11" i="12"/>
  <c r="AN11" i="12"/>
  <c r="AJ11" i="12"/>
  <c r="AF11" i="12"/>
  <c r="AB11" i="12"/>
  <c r="X11" i="12"/>
  <c r="E11" i="12"/>
  <c r="S11" i="12"/>
  <c r="IG11" i="12"/>
  <c r="HY11" i="12"/>
  <c r="HQ11" i="12"/>
  <c r="HI11" i="12"/>
  <c r="HA11" i="12"/>
  <c r="GS11" i="12"/>
  <c r="GK11" i="12"/>
  <c r="GC11" i="12"/>
  <c r="FU11" i="12"/>
  <c r="FM11" i="12"/>
  <c r="FE11" i="12"/>
  <c r="EW11" i="12"/>
  <c r="EO11" i="12"/>
  <c r="EG11" i="12"/>
  <c r="DY11" i="12"/>
  <c r="DQ11" i="12"/>
  <c r="DI11" i="12"/>
  <c r="DA11" i="12"/>
  <c r="CS11" i="12"/>
  <c r="CK11" i="12"/>
  <c r="CC11" i="12"/>
  <c r="BU11" i="12"/>
  <c r="BM11" i="12"/>
  <c r="C11" i="12"/>
  <c r="C38" i="12" s="1"/>
  <c r="J11" i="12"/>
  <c r="M11" i="12"/>
  <c r="IA11" i="12"/>
  <c r="HS11" i="12"/>
  <c r="HK11" i="12"/>
  <c r="HC11" i="12"/>
  <c r="GU11" i="12"/>
  <c r="GM11" i="12"/>
  <c r="GE11" i="12"/>
  <c r="FW11" i="12"/>
  <c r="FO11" i="12"/>
  <c r="FG11" i="12"/>
  <c r="EY11" i="12"/>
  <c r="EQ11" i="12"/>
  <c r="EI11" i="12"/>
  <c r="EA11" i="12"/>
  <c r="DS11" i="12"/>
  <c r="DK11" i="12"/>
  <c r="DC11" i="12"/>
  <c r="CU11" i="12"/>
  <c r="CM11" i="12"/>
  <c r="CE11" i="12"/>
  <c r="BW11" i="12"/>
  <c r="BO11" i="12"/>
  <c r="BG11" i="12"/>
  <c r="BC11" i="12"/>
  <c r="AY11" i="12"/>
  <c r="AU11" i="12"/>
  <c r="AQ11" i="12"/>
  <c r="AM11" i="12"/>
  <c r="AI11" i="12"/>
  <c r="AE11" i="12"/>
  <c r="AA11" i="12"/>
  <c r="W11" i="12"/>
  <c r="F11" i="12"/>
  <c r="H11" i="12"/>
  <c r="I11" i="12"/>
  <c r="P11" i="12"/>
  <c r="T11" i="12"/>
  <c r="ID11" i="12"/>
  <c r="HZ11" i="12"/>
  <c r="HV11" i="12"/>
  <c r="HR11" i="12"/>
  <c r="HN11" i="12"/>
  <c r="HJ11" i="12"/>
  <c r="HF11" i="12"/>
  <c r="HB11" i="12"/>
  <c r="GX11" i="12"/>
  <c r="GT11" i="12"/>
  <c r="GP11" i="12"/>
  <c r="GL11" i="12"/>
  <c r="GH11" i="12"/>
  <c r="GD11" i="12"/>
  <c r="FZ11" i="12"/>
  <c r="FV11" i="12"/>
  <c r="FR11" i="12"/>
  <c r="FN11" i="12"/>
  <c r="FJ11" i="12"/>
  <c r="FF11" i="12"/>
  <c r="FB11" i="12"/>
  <c r="EX11" i="12"/>
  <c r="ET11" i="12"/>
  <c r="EP11" i="12"/>
  <c r="EL11" i="12"/>
  <c r="EH11" i="12"/>
  <c r="ED11" i="12"/>
  <c r="DZ11" i="12"/>
  <c r="DV11" i="12"/>
  <c r="DR11" i="12"/>
  <c r="DN11" i="12"/>
  <c r="DJ11" i="12"/>
  <c r="DF11" i="12"/>
  <c r="DB11" i="12"/>
  <c r="CX11" i="12"/>
  <c r="CT11" i="12"/>
  <c r="CP11" i="12"/>
  <c r="CL11" i="12"/>
  <c r="CH11" i="12"/>
  <c r="CD11" i="12"/>
  <c r="BZ11" i="12"/>
  <c r="BV11" i="12"/>
  <c r="BR11" i="12"/>
  <c r="BN11" i="12"/>
  <c r="BJ11" i="12"/>
  <c r="BF11" i="12"/>
  <c r="BB11" i="12"/>
  <c r="AX11" i="12"/>
  <c r="AT11" i="12"/>
  <c r="AP11" i="12"/>
  <c r="AL11" i="12"/>
  <c r="AH11" i="12"/>
  <c r="AD11" i="12"/>
  <c r="Z11" i="12"/>
  <c r="V11" i="12"/>
  <c r="GU9" i="12"/>
  <c r="GU10" i="12" s="1"/>
  <c r="GU38" i="12" s="1"/>
  <c r="BW9" i="12"/>
  <c r="BW37" i="12" s="1"/>
  <c r="EI9" i="12"/>
  <c r="GV9" i="12"/>
  <c r="GV37" i="12" s="1"/>
  <c r="BX9" i="12"/>
  <c r="BX12" i="12" s="1"/>
  <c r="FE9" i="12"/>
  <c r="FE37" i="12" s="1"/>
  <c r="AG9" i="12"/>
  <c r="AG10" i="12" s="1"/>
  <c r="AH9" i="12"/>
  <c r="AH10" i="12" s="1"/>
  <c r="GZ9" i="12"/>
  <c r="GZ24" i="12" s="1"/>
  <c r="IA9" i="12"/>
  <c r="IA37" i="12" s="1"/>
  <c r="FO9" i="12"/>
  <c r="DC9" i="12"/>
  <c r="DC37" i="12" s="1"/>
  <c r="AQ9" i="12"/>
  <c r="AQ10" i="12" s="1"/>
  <c r="EJ9" i="12"/>
  <c r="EJ37" i="12" s="1"/>
  <c r="HQ9" i="12"/>
  <c r="CS9" i="12"/>
  <c r="CS37" i="12" s="1"/>
  <c r="FF9" i="12"/>
  <c r="FF24" i="12" s="1"/>
  <c r="DO9" i="12"/>
  <c r="DO37" i="12" s="1"/>
  <c r="CB9" i="12"/>
  <c r="HK9" i="12"/>
  <c r="HK37" i="12" s="1"/>
  <c r="GE9" i="12"/>
  <c r="GE37" i="12" s="1"/>
  <c r="EY9" i="12"/>
  <c r="EY37" i="12" s="1"/>
  <c r="DS9" i="12"/>
  <c r="CM9" i="12"/>
  <c r="CM37" i="12" s="1"/>
  <c r="BG9" i="12"/>
  <c r="BG10" i="12" s="1"/>
  <c r="IB9" i="12"/>
  <c r="IB37" i="12" s="1"/>
  <c r="FP9" i="12"/>
  <c r="DD9" i="12"/>
  <c r="DD37" i="12" s="1"/>
  <c r="AR9" i="12"/>
  <c r="AR10" i="12" s="1"/>
  <c r="GK9" i="12"/>
  <c r="GK37" i="12" s="1"/>
  <c r="DY9" i="12"/>
  <c r="BM9" i="12"/>
  <c r="BM37" i="12" s="1"/>
  <c r="HB9" i="12"/>
  <c r="HB12" i="12" s="1"/>
  <c r="CT9" i="12"/>
  <c r="CT37" i="12" s="1"/>
  <c r="GA9" i="12"/>
  <c r="BC9" i="12"/>
  <c r="BC10" i="12" s="1"/>
  <c r="EN9" i="12"/>
  <c r="EN24" i="12" s="1"/>
  <c r="HU9" i="12"/>
  <c r="HU37" i="12" s="1"/>
  <c r="C40" i="12"/>
  <c r="D13" i="12"/>
  <c r="D15" i="12" s="1"/>
  <c r="D40" i="12"/>
  <c r="HL9" i="12"/>
  <c r="GF9" i="12"/>
  <c r="GF37" i="12" s="1"/>
  <c r="EZ9" i="12"/>
  <c r="DT9" i="12"/>
  <c r="DT37" i="12" s="1"/>
  <c r="CN9" i="12"/>
  <c r="BH9" i="12"/>
  <c r="BH10" i="12" s="1"/>
  <c r="IG9" i="12"/>
  <c r="HA9" i="12"/>
  <c r="HA37" i="12" s="1"/>
  <c r="FU9" i="12"/>
  <c r="EO9" i="12"/>
  <c r="EO37" i="12" s="1"/>
  <c r="DI9" i="12"/>
  <c r="DI12" i="12" s="1"/>
  <c r="CC9" i="12"/>
  <c r="CC37" i="12" s="1"/>
  <c r="AW9" i="12"/>
  <c r="AW10" i="12" s="1"/>
  <c r="HR9" i="12"/>
  <c r="HR37" i="12" s="1"/>
  <c r="GL9" i="12"/>
  <c r="DZ9" i="12"/>
  <c r="DZ37" i="12" s="1"/>
  <c r="BN9" i="12"/>
  <c r="HG9" i="12"/>
  <c r="HG37" i="12" s="1"/>
  <c r="EU9" i="12"/>
  <c r="EU24" i="12" s="1"/>
  <c r="CI9" i="12"/>
  <c r="CI37" i="12" s="1"/>
  <c r="IF9" i="12"/>
  <c r="FT9" i="12"/>
  <c r="FT37" i="12" s="1"/>
  <c r="DH9" i="12"/>
  <c r="AV9" i="12"/>
  <c r="AV10" i="12" s="1"/>
  <c r="FI9" i="12"/>
  <c r="GO9" i="12"/>
  <c r="GO37" i="12" s="1"/>
  <c r="DU9" i="12"/>
  <c r="FV9" i="12"/>
  <c r="FV37" i="12" s="1"/>
  <c r="EP9" i="12"/>
  <c r="DJ9" i="12"/>
  <c r="DJ37" i="12" s="1"/>
  <c r="CD9" i="12"/>
  <c r="AX9" i="12"/>
  <c r="AX10" i="12" s="1"/>
  <c r="HW9" i="12"/>
  <c r="GQ9" i="12"/>
  <c r="GQ37" i="12" s="1"/>
  <c r="FK9" i="12"/>
  <c r="EE9" i="12"/>
  <c r="EE37" i="12" s="1"/>
  <c r="CY9" i="12"/>
  <c r="BS9" i="12"/>
  <c r="BS37" i="12" s="1"/>
  <c r="AM9" i="12"/>
  <c r="AM10" i="12" s="1"/>
  <c r="HP9" i="12"/>
  <c r="HP37" i="12" s="1"/>
  <c r="GJ9" i="12"/>
  <c r="FD9" i="12"/>
  <c r="FD37" i="12" s="1"/>
  <c r="DX9" i="12"/>
  <c r="CR9" i="12"/>
  <c r="CR37" i="12" s="1"/>
  <c r="BL9" i="12"/>
  <c r="BL10" i="12" s="1"/>
  <c r="AF9" i="12"/>
  <c r="AF10" i="12" s="1"/>
  <c r="HE9" i="12"/>
  <c r="FY9" i="12"/>
  <c r="FY37" i="12" s="1"/>
  <c r="ES9" i="12"/>
  <c r="CO9" i="12"/>
  <c r="CO37" i="12" s="1"/>
  <c r="BI9" i="12"/>
  <c r="BI10" i="12" s="1"/>
  <c r="AC9" i="12"/>
  <c r="AC10" i="12" s="1"/>
  <c r="ET9" i="12"/>
  <c r="HF9" i="12"/>
  <c r="HF37" i="12" s="1"/>
  <c r="CH9" i="12"/>
  <c r="FZ9" i="12"/>
  <c r="FZ37" i="12" s="1"/>
  <c r="DN9" i="12"/>
  <c r="U9" i="12"/>
  <c r="U10" i="12" s="1"/>
  <c r="AA9" i="12"/>
  <c r="BB9" i="12"/>
  <c r="BB10" i="12" s="1"/>
  <c r="V9" i="12"/>
  <c r="M9" i="12"/>
  <c r="M10" i="12" s="1"/>
  <c r="J9" i="12"/>
  <c r="J10" i="12" s="1"/>
  <c r="G9" i="12"/>
  <c r="G10" i="12" s="1"/>
  <c r="HS9" i="12"/>
  <c r="HC9" i="12"/>
  <c r="GM9" i="12"/>
  <c r="FW9" i="12"/>
  <c r="FW37" i="12" s="1"/>
  <c r="FG9" i="12"/>
  <c r="FG37" i="12" s="1"/>
  <c r="EQ9" i="12"/>
  <c r="EQ37" i="12" s="1"/>
  <c r="EA9" i="12"/>
  <c r="EA37" i="12" s="1"/>
  <c r="DK9" i="12"/>
  <c r="CU9" i="12"/>
  <c r="CU37" i="12" s="1"/>
  <c r="CE9" i="12"/>
  <c r="CE37" i="12" s="1"/>
  <c r="BO9" i="12"/>
  <c r="BO37" i="12" s="1"/>
  <c r="AY9" i="12"/>
  <c r="AY10" i="12" s="1"/>
  <c r="AI9" i="12"/>
  <c r="AI10" i="12" s="1"/>
  <c r="HT9" i="12"/>
  <c r="HT12" i="12" s="1"/>
  <c r="HD9" i="12"/>
  <c r="HD37" i="12" s="1"/>
  <c r="GN9" i="12"/>
  <c r="GN37" i="12" s="1"/>
  <c r="FX9" i="12"/>
  <c r="FX37" i="12" s="1"/>
  <c r="FH9" i="12"/>
  <c r="ER9" i="12"/>
  <c r="ER37" i="12" s="1"/>
  <c r="EB9" i="12"/>
  <c r="EB37" i="12" s="1"/>
  <c r="DL9" i="12"/>
  <c r="DL37" i="12" s="1"/>
  <c r="CV9" i="12"/>
  <c r="CV24" i="12" s="1"/>
  <c r="CF9" i="12"/>
  <c r="CF37" i="12" s="1"/>
  <c r="BP9" i="12"/>
  <c r="BP37" i="12" s="1"/>
  <c r="AZ9" i="12"/>
  <c r="AZ10" i="12" s="1"/>
  <c r="AJ9" i="12"/>
  <c r="AJ10" i="12" s="1"/>
  <c r="HY9" i="12"/>
  <c r="HY37" i="12" s="1"/>
  <c r="HI9" i="12"/>
  <c r="GS9" i="12"/>
  <c r="GS12" i="12" s="1"/>
  <c r="GC9" i="12"/>
  <c r="FM9" i="12"/>
  <c r="FM37" i="12" s="1"/>
  <c r="EW9" i="12"/>
  <c r="EW12" i="12" s="1"/>
  <c r="EG9" i="12"/>
  <c r="EG37" i="12" s="1"/>
  <c r="DQ9" i="12"/>
  <c r="DQ37" i="12" s="1"/>
  <c r="DA9" i="12"/>
  <c r="CK9" i="12"/>
  <c r="BU9" i="12"/>
  <c r="BE9" i="12"/>
  <c r="BE10" i="12" s="1"/>
  <c r="AO9" i="12"/>
  <c r="AO10" i="12" s="1"/>
  <c r="HZ9" i="12"/>
  <c r="HJ9" i="12"/>
  <c r="GT9" i="12"/>
  <c r="GD9" i="12"/>
  <c r="FN9" i="12"/>
  <c r="EX9" i="12"/>
  <c r="EX24" i="12" s="1"/>
  <c r="EH9" i="12"/>
  <c r="DR9" i="12"/>
  <c r="DB9" i="12"/>
  <c r="CL9" i="12"/>
  <c r="CL24" i="12" s="1"/>
  <c r="BV9" i="12"/>
  <c r="BF9" i="12"/>
  <c r="BF10" i="12" s="1"/>
  <c r="AP9" i="12"/>
  <c r="AP10" i="12" s="1"/>
  <c r="IE9" i="12"/>
  <c r="HO9" i="12"/>
  <c r="GY9" i="12"/>
  <c r="GY24" i="12" s="1"/>
  <c r="GI9" i="12"/>
  <c r="GI37" i="12" s="1"/>
  <c r="FS9" i="12"/>
  <c r="FC9" i="12"/>
  <c r="EM9" i="12"/>
  <c r="DW9" i="12"/>
  <c r="DG9" i="12"/>
  <c r="CQ9" i="12"/>
  <c r="CA9" i="12"/>
  <c r="BK9" i="12"/>
  <c r="BK10" i="12" s="1"/>
  <c r="AU9" i="12"/>
  <c r="AU10" i="12" s="1"/>
  <c r="AE9" i="12"/>
  <c r="AE10" i="12" s="1"/>
  <c r="HX9" i="12"/>
  <c r="HH9" i="12"/>
  <c r="GR9" i="12"/>
  <c r="GB9" i="12"/>
  <c r="GB37" i="12" s="1"/>
  <c r="FL9" i="12"/>
  <c r="EV9" i="12"/>
  <c r="EF9" i="12"/>
  <c r="EF12" i="12" s="1"/>
  <c r="DP9" i="12"/>
  <c r="DP37" i="12" s="1"/>
  <c r="CZ9" i="12"/>
  <c r="CJ9" i="12"/>
  <c r="BT9" i="12"/>
  <c r="BT12" i="12" s="1"/>
  <c r="BD9" i="12"/>
  <c r="BD10" i="12" s="1"/>
  <c r="AN9" i="12"/>
  <c r="AN10" i="12" s="1"/>
  <c r="IC9" i="12"/>
  <c r="IC37" i="12" s="1"/>
  <c r="HM9" i="12"/>
  <c r="GW9" i="12"/>
  <c r="GG9" i="12"/>
  <c r="GG12" i="12" s="1"/>
  <c r="FQ9" i="12"/>
  <c r="FA9" i="12"/>
  <c r="EK9" i="12"/>
  <c r="DE9" i="12"/>
  <c r="BY9" i="12"/>
  <c r="BY12" i="12" s="1"/>
  <c r="AS9" i="12"/>
  <c r="AS10" i="12" s="1"/>
  <c r="HV9" i="12"/>
  <c r="HV37" i="12" s="1"/>
  <c r="GP9" i="12"/>
  <c r="GP37" i="12" s="1"/>
  <c r="FJ9" i="12"/>
  <c r="ED9" i="12"/>
  <c r="ED12" i="12" s="1"/>
  <c r="CX9" i="12"/>
  <c r="CX12" i="12" s="1"/>
  <c r="BR9" i="12"/>
  <c r="AL9" i="12"/>
  <c r="AL10" i="12" s="1"/>
  <c r="W9" i="12"/>
  <c r="Y9" i="12"/>
  <c r="Y10" i="12" s="1"/>
  <c r="X9" i="12"/>
  <c r="E9" i="12"/>
  <c r="E10" i="12" s="1"/>
  <c r="O9" i="12"/>
  <c r="O10" i="12" s="1"/>
  <c r="L9" i="12"/>
  <c r="L10" i="12" s="1"/>
  <c r="EC9" i="12"/>
  <c r="EC37" i="12" s="1"/>
  <c r="DM9" i="12"/>
  <c r="CW9" i="12"/>
  <c r="CW10" i="12" s="1"/>
  <c r="CW38" i="12" s="1"/>
  <c r="CG9" i="12"/>
  <c r="BQ9" i="12"/>
  <c r="BA9" i="12"/>
  <c r="BA10" i="12" s="1"/>
  <c r="AK9" i="12"/>
  <c r="AK10" i="12" s="1"/>
  <c r="ID9" i="12"/>
  <c r="HN9" i="12"/>
  <c r="HN12" i="12" s="1"/>
  <c r="GX9" i="12"/>
  <c r="GH9" i="12"/>
  <c r="GH24" i="12" s="1"/>
  <c r="FR9" i="12"/>
  <c r="FB9" i="12"/>
  <c r="FB24" i="12" s="1"/>
  <c r="EL9" i="12"/>
  <c r="DV9" i="12"/>
  <c r="DF9" i="12"/>
  <c r="DF37" i="12" s="1"/>
  <c r="CP9" i="12"/>
  <c r="BZ9" i="12"/>
  <c r="BJ9" i="12"/>
  <c r="BJ10" i="12" s="1"/>
  <c r="AT9" i="12"/>
  <c r="AT10" i="12" s="1"/>
  <c r="AD9" i="12"/>
  <c r="AD10" i="12" s="1"/>
  <c r="Q9" i="12"/>
  <c r="Q10" i="12" s="1"/>
  <c r="Z9" i="12"/>
  <c r="R9" i="12"/>
  <c r="R10" i="12" s="1"/>
  <c r="S9" i="12"/>
  <c r="S10" i="12" s="1"/>
  <c r="AB9" i="12"/>
  <c r="AB10" i="12" s="1"/>
  <c r="T9" i="12"/>
  <c r="T10" i="12" s="1"/>
  <c r="I9" i="12"/>
  <c r="I10" i="12" s="1"/>
  <c r="N9" i="12"/>
  <c r="N10" i="12" s="1"/>
  <c r="F9" i="12"/>
  <c r="F10" i="12" s="1"/>
  <c r="K9" i="12"/>
  <c r="K10" i="12" s="1"/>
  <c r="P9" i="12"/>
  <c r="P10" i="12" s="1"/>
  <c r="H9" i="12"/>
  <c r="H10" i="12" s="1"/>
  <c r="H24" i="5"/>
  <c r="H25" i="5" s="1"/>
  <c r="J5" i="6" s="1"/>
  <c r="J7" i="6" s="1"/>
  <c r="B62" i="4" s="1"/>
  <c r="FW10" i="12"/>
  <c r="EQ24" i="12"/>
  <c r="DK10" i="12"/>
  <c r="GN12" i="12"/>
  <c r="BP12" i="12"/>
  <c r="DQ24" i="12"/>
  <c r="GR12" i="12"/>
  <c r="CO12" i="12"/>
  <c r="HF10" i="12"/>
  <c r="HF38" i="12" s="1"/>
  <c r="HF12" i="12"/>
  <c r="V10" i="12"/>
  <c r="IA12" i="12"/>
  <c r="IA10" i="12"/>
  <c r="IA38" i="12" s="1"/>
  <c r="EY12" i="12"/>
  <c r="EY10" i="12"/>
  <c r="EY38" i="12" s="1"/>
  <c r="EI12" i="12"/>
  <c r="DS12" i="12"/>
  <c r="CM10" i="12"/>
  <c r="CM38" i="12" s="1"/>
  <c r="BW24" i="12"/>
  <c r="IB10" i="12"/>
  <c r="IB38" i="12" s="1"/>
  <c r="IB24" i="12"/>
  <c r="HL12" i="12"/>
  <c r="GF24" i="12"/>
  <c r="FP24" i="12"/>
  <c r="EJ24" i="12"/>
  <c r="DD24" i="12"/>
  <c r="CN24" i="12"/>
  <c r="BX10" i="12"/>
  <c r="BX38" i="12" s="1"/>
  <c r="IG24" i="12"/>
  <c r="HQ24" i="12"/>
  <c r="GK10" i="12"/>
  <c r="GK38" i="12" s="1"/>
  <c r="GK24" i="12"/>
  <c r="FE12" i="12"/>
  <c r="EO10" i="12"/>
  <c r="EO38" i="12" s="1"/>
  <c r="EO24" i="12"/>
  <c r="DY12" i="12"/>
  <c r="HR10" i="12"/>
  <c r="HR38" i="12" s="1"/>
  <c r="HR12" i="12"/>
  <c r="HB24" i="12"/>
  <c r="DJ10" i="12"/>
  <c r="DJ38" i="12" s="1"/>
  <c r="DJ12" i="12"/>
  <c r="CT24" i="12"/>
  <c r="HG10" i="12"/>
  <c r="HG38" i="12" s="1"/>
  <c r="HG12" i="12"/>
  <c r="GQ24" i="12"/>
  <c r="GA24" i="12"/>
  <c r="FK24" i="12"/>
  <c r="DO10" i="12"/>
  <c r="DO24" i="12"/>
  <c r="CY24" i="12"/>
  <c r="BS12" i="12"/>
  <c r="HP24" i="12"/>
  <c r="FT10" i="12"/>
  <c r="FT38" i="12" s="1"/>
  <c r="FT12" i="12"/>
  <c r="FD24" i="12"/>
  <c r="CB24" i="12"/>
  <c r="HU12" i="12"/>
  <c r="GO10" i="12"/>
  <c r="GO38" i="12" s="1"/>
  <c r="GO24" i="12"/>
  <c r="FI24" i="12"/>
  <c r="ES24" i="12"/>
  <c r="D33" i="5"/>
  <c r="D39" i="5" s="1"/>
  <c r="D40" i="5" s="1"/>
  <c r="S6" i="9"/>
  <c r="J30" i="5"/>
  <c r="D48" i="5"/>
  <c r="CL1" i="12"/>
  <c r="I13" i="9"/>
  <c r="J16" i="9"/>
  <c r="M12" i="9"/>
  <c r="K10" i="9"/>
  <c r="K21" i="9"/>
  <c r="K3" i="6"/>
  <c r="J11" i="6"/>
  <c r="G43" i="5"/>
  <c r="G37" i="5"/>
  <c r="H37" i="5"/>
  <c r="CI10" i="12" l="1"/>
  <c r="CI38" i="12" s="1"/>
  <c r="CI40" i="12" s="1"/>
  <c r="EE12" i="12"/>
  <c r="CC24" i="12"/>
  <c r="DT10" i="12"/>
  <c r="DT38" i="12" s="1"/>
  <c r="HA12" i="12"/>
  <c r="CC10" i="12"/>
  <c r="CC38" i="12" s="1"/>
  <c r="GE24" i="12"/>
  <c r="EC12" i="12"/>
  <c r="CR24" i="12"/>
  <c r="FZ24" i="12"/>
  <c r="FY12" i="12"/>
  <c r="HP10" i="12"/>
  <c r="HP38" i="12" s="1"/>
  <c r="DZ24" i="12"/>
  <c r="CI24" i="12"/>
  <c r="FV24" i="12"/>
  <c r="DT12" i="12"/>
  <c r="CM12" i="12"/>
  <c r="HK24" i="12"/>
  <c r="FW38" i="12"/>
  <c r="CS10" i="12"/>
  <c r="CS38" i="12" s="1"/>
  <c r="GV12" i="12"/>
  <c r="DC24" i="12"/>
  <c r="CE24" i="12"/>
  <c r="DO38" i="12"/>
  <c r="BM24" i="12"/>
  <c r="GV10" i="12"/>
  <c r="GV38" i="12" s="1"/>
  <c r="DK38" i="12"/>
  <c r="FY24" i="12"/>
  <c r="FY10" i="12"/>
  <c r="FY38" i="12" s="1"/>
  <c r="GO12" i="12"/>
  <c r="HU24" i="12"/>
  <c r="HU10" i="12"/>
  <c r="HU38" i="12" s="1"/>
  <c r="CR12" i="12"/>
  <c r="CR10" i="12"/>
  <c r="CR38" i="12" s="1"/>
  <c r="FD12" i="12"/>
  <c r="FD10" i="12"/>
  <c r="FD38" i="12" s="1"/>
  <c r="FT24" i="12"/>
  <c r="HP12" i="12"/>
  <c r="BS24" i="12"/>
  <c r="BS10" i="12"/>
  <c r="BS38" i="12" s="1"/>
  <c r="CI12" i="12"/>
  <c r="DO12" i="12"/>
  <c r="EE24" i="12"/>
  <c r="EE10" i="12"/>
  <c r="EE38" i="12" s="1"/>
  <c r="GQ12" i="12"/>
  <c r="GQ10" i="12"/>
  <c r="GQ38" i="12" s="1"/>
  <c r="HG24" i="12"/>
  <c r="CT12" i="12"/>
  <c r="CT10" i="12"/>
  <c r="CT38" i="12" s="1"/>
  <c r="DJ24" i="12"/>
  <c r="DZ12" i="12"/>
  <c r="DZ10" i="12"/>
  <c r="DZ38" i="12" s="1"/>
  <c r="FV12" i="12"/>
  <c r="FV10" i="12"/>
  <c r="FV38" i="12" s="1"/>
  <c r="HR24" i="12"/>
  <c r="BM12" i="12"/>
  <c r="BM10" i="12"/>
  <c r="BM38" i="12" s="1"/>
  <c r="CC12" i="12"/>
  <c r="CS12" i="12"/>
  <c r="CS24" i="12"/>
  <c r="EO12" i="12"/>
  <c r="FE24" i="12"/>
  <c r="FE10" i="12"/>
  <c r="FE38" i="12" s="1"/>
  <c r="GK12" i="12"/>
  <c r="HA24" i="12"/>
  <c r="HA10" i="12"/>
  <c r="HA38" i="12" s="1"/>
  <c r="DD12" i="12"/>
  <c r="DD10" i="12"/>
  <c r="DD38" i="12" s="1"/>
  <c r="DT24" i="12"/>
  <c r="EJ12" i="12"/>
  <c r="EJ10" i="12"/>
  <c r="EJ38" i="12" s="1"/>
  <c r="GF12" i="12"/>
  <c r="GF10" i="12"/>
  <c r="GF38" i="12" s="1"/>
  <c r="GV24" i="12"/>
  <c r="IB12" i="12"/>
  <c r="BW10" i="12"/>
  <c r="BW38" i="12" s="1"/>
  <c r="BW12" i="12"/>
  <c r="CM24" i="12"/>
  <c r="DC10" i="12"/>
  <c r="DC38" i="12" s="1"/>
  <c r="DC12" i="12"/>
  <c r="EY24" i="12"/>
  <c r="HK10" i="12"/>
  <c r="HK38" i="12" s="1"/>
  <c r="HK12" i="12"/>
  <c r="IA24" i="12"/>
  <c r="FZ12" i="12"/>
  <c r="FZ10" i="12"/>
  <c r="FZ38" i="12" s="1"/>
  <c r="HF24" i="12"/>
  <c r="CO24" i="12"/>
  <c r="CO10" i="12"/>
  <c r="CO38" i="12" s="1"/>
  <c r="EG24" i="12"/>
  <c r="CF12" i="12"/>
  <c r="ER12" i="12"/>
  <c r="HD12" i="12"/>
  <c r="BO24" i="12"/>
  <c r="CU24" i="12"/>
  <c r="EA24" i="12"/>
  <c r="FG24" i="12"/>
  <c r="D25" i="12"/>
  <c r="D27" i="12" s="1"/>
  <c r="C25" i="12"/>
  <c r="C27" i="12" s="1"/>
  <c r="C13" i="12"/>
  <c r="C15" i="12" s="1"/>
  <c r="BZ10" i="12"/>
  <c r="BZ38" i="12" s="1"/>
  <c r="BZ37" i="12"/>
  <c r="EL10" i="12"/>
  <c r="EL38" i="12" s="1"/>
  <c r="EL37" i="12"/>
  <c r="FR24" i="12"/>
  <c r="FR37" i="12"/>
  <c r="GX10" i="12"/>
  <c r="GX38" i="12" s="1"/>
  <c r="GX37" i="12"/>
  <c r="ID12" i="12"/>
  <c r="ID37" i="12"/>
  <c r="CG12" i="12"/>
  <c r="CG37" i="12"/>
  <c r="DM10" i="12"/>
  <c r="DM38" i="12" s="1"/>
  <c r="DM37" i="12"/>
  <c r="CX24" i="12"/>
  <c r="CX37" i="12"/>
  <c r="FJ10" i="12"/>
  <c r="FJ38" i="12" s="1"/>
  <c r="FJ37" i="12"/>
  <c r="BY24" i="12"/>
  <c r="BY37" i="12"/>
  <c r="EK10" i="12"/>
  <c r="EK38" i="12" s="1"/>
  <c r="EK37" i="12"/>
  <c r="FQ12" i="12"/>
  <c r="FQ37" i="12"/>
  <c r="GW10" i="12"/>
  <c r="GW38" i="12" s="1"/>
  <c r="GW37" i="12"/>
  <c r="CJ10" i="12"/>
  <c r="CJ25" i="12" s="1"/>
  <c r="CJ27" i="12" s="1"/>
  <c r="CJ37" i="12"/>
  <c r="EV10" i="12"/>
  <c r="EV38" i="12" s="1"/>
  <c r="EV37" i="12"/>
  <c r="HH10" i="12"/>
  <c r="HH38" i="12" s="1"/>
  <c r="HH37" i="12"/>
  <c r="CQ12" i="12"/>
  <c r="CQ37" i="12"/>
  <c r="DW24" i="12"/>
  <c r="DW37" i="12"/>
  <c r="FC12" i="12"/>
  <c r="FC37" i="12"/>
  <c r="HO12" i="12"/>
  <c r="HO37" i="12"/>
  <c r="BV12" i="12"/>
  <c r="BV37" i="12"/>
  <c r="DB10" i="12"/>
  <c r="DB38" i="12" s="1"/>
  <c r="DB37" i="12"/>
  <c r="EH12" i="12"/>
  <c r="EH37" i="12"/>
  <c r="FN10" i="12"/>
  <c r="FN38" i="12" s="1"/>
  <c r="FN37" i="12"/>
  <c r="GT10" i="12"/>
  <c r="GT38" i="12" s="1"/>
  <c r="GT37" i="12"/>
  <c r="HZ12" i="12"/>
  <c r="HZ37" i="12"/>
  <c r="CK10" i="12"/>
  <c r="CK38" i="12" s="1"/>
  <c r="CK37" i="12"/>
  <c r="EW24" i="12"/>
  <c r="EW37" i="12"/>
  <c r="GC24" i="12"/>
  <c r="GC37" i="12"/>
  <c r="HI12" i="12"/>
  <c r="HI37" i="12"/>
  <c r="CV12" i="12"/>
  <c r="CV37" i="12"/>
  <c r="FH12" i="12"/>
  <c r="FH37" i="12"/>
  <c r="HT24" i="12"/>
  <c r="HT37" i="12"/>
  <c r="DK24" i="12"/>
  <c r="DK37" i="12"/>
  <c r="HC24" i="12"/>
  <c r="HC37" i="12"/>
  <c r="DN10" i="12"/>
  <c r="DN38" i="12" s="1"/>
  <c r="DN37" i="12"/>
  <c r="CH10" i="12"/>
  <c r="CH38" i="12" s="1"/>
  <c r="CH40" i="12" s="1"/>
  <c r="CH37" i="12"/>
  <c r="ET24" i="12"/>
  <c r="ET37" i="12"/>
  <c r="ES10" i="12"/>
  <c r="ES38" i="12" s="1"/>
  <c r="ES37" i="12"/>
  <c r="HE10" i="12"/>
  <c r="HE38" i="12" s="1"/>
  <c r="HE37" i="12"/>
  <c r="DX10" i="12"/>
  <c r="DX38" i="12" s="1"/>
  <c r="DX37" i="12"/>
  <c r="GJ10" i="12"/>
  <c r="GJ38" i="12" s="1"/>
  <c r="GJ37" i="12"/>
  <c r="CY10" i="12"/>
  <c r="CY38" i="12" s="1"/>
  <c r="CY37" i="12"/>
  <c r="FK10" i="12"/>
  <c r="FK38" i="12" s="1"/>
  <c r="FK37" i="12"/>
  <c r="HW10" i="12"/>
  <c r="HW38" i="12" s="1"/>
  <c r="HW37" i="12"/>
  <c r="CD10" i="12"/>
  <c r="CD38" i="12" s="1"/>
  <c r="CD40" i="12" s="1"/>
  <c r="CD37" i="12"/>
  <c r="EP10" i="12"/>
  <c r="EP38" i="12" s="1"/>
  <c r="EP37" i="12"/>
  <c r="DU10" i="12"/>
  <c r="DU38" i="12" s="1"/>
  <c r="DU37" i="12"/>
  <c r="FI10" i="12"/>
  <c r="FI38" i="12" s="1"/>
  <c r="FI37" i="12"/>
  <c r="DH10" i="12"/>
  <c r="DH38" i="12" s="1"/>
  <c r="DH37" i="12"/>
  <c r="IF10" i="12"/>
  <c r="IF38" i="12" s="1"/>
  <c r="IF37" i="12"/>
  <c r="EU10" i="12"/>
  <c r="EU38" i="12" s="1"/>
  <c r="EU37" i="12"/>
  <c r="BN10" i="12"/>
  <c r="BN38" i="12" s="1"/>
  <c r="BN37" i="12"/>
  <c r="GL10" i="12"/>
  <c r="GL38" i="12" s="1"/>
  <c r="GL37" i="12"/>
  <c r="DI10" i="12"/>
  <c r="DI38" i="12" s="1"/>
  <c r="DI37" i="12"/>
  <c r="FU10" i="12"/>
  <c r="FU38" i="12" s="1"/>
  <c r="FU37" i="12"/>
  <c r="IG10" i="12"/>
  <c r="IG38" i="12" s="1"/>
  <c r="IG37" i="12"/>
  <c r="CN10" i="12"/>
  <c r="CN37" i="12"/>
  <c r="EZ10" i="12"/>
  <c r="EZ38" i="12" s="1"/>
  <c r="EZ37" i="12"/>
  <c r="HL10" i="12"/>
  <c r="HL38" i="12" s="1"/>
  <c r="HL37" i="12"/>
  <c r="EN10" i="12"/>
  <c r="EN38" i="12" s="1"/>
  <c r="EN37" i="12"/>
  <c r="GA10" i="12"/>
  <c r="GA38" i="12" s="1"/>
  <c r="GA37" i="12"/>
  <c r="HB10" i="12"/>
  <c r="HB38" i="12" s="1"/>
  <c r="HB37" i="12"/>
  <c r="DY10" i="12"/>
  <c r="DY38" i="12" s="1"/>
  <c r="DY37" i="12"/>
  <c r="FP10" i="12"/>
  <c r="FP38" i="12" s="1"/>
  <c r="FP37" i="12"/>
  <c r="DS24" i="12"/>
  <c r="DS37" i="12"/>
  <c r="CB10" i="12"/>
  <c r="CB37" i="12"/>
  <c r="FF10" i="12"/>
  <c r="FF38" i="12" s="1"/>
  <c r="FF37" i="12"/>
  <c r="HQ10" i="12"/>
  <c r="HQ38" i="12" s="1"/>
  <c r="HQ37" i="12"/>
  <c r="FO24" i="12"/>
  <c r="FO37" i="12"/>
  <c r="GZ10" i="12"/>
  <c r="GZ38" i="12" s="1"/>
  <c r="GZ37" i="12"/>
  <c r="BX24" i="12"/>
  <c r="BX37" i="12"/>
  <c r="EI24" i="12"/>
  <c r="EI37" i="12"/>
  <c r="GU12" i="12"/>
  <c r="GU37" i="12"/>
  <c r="G45" i="5"/>
  <c r="H45" i="5" s="1"/>
  <c r="I45" i="5" s="1"/>
  <c r="G69" i="5" s="1"/>
  <c r="CP10" i="12"/>
  <c r="CP38" i="12" s="1"/>
  <c r="CP37" i="12"/>
  <c r="DV10" i="12"/>
  <c r="DV38" i="12" s="1"/>
  <c r="DV37" i="12"/>
  <c r="FB10" i="12"/>
  <c r="FB38" i="12" s="1"/>
  <c r="FB37" i="12"/>
  <c r="GH10" i="12"/>
  <c r="GH38" i="12" s="1"/>
  <c r="GH37" i="12"/>
  <c r="HN10" i="12"/>
  <c r="HN38" i="12" s="1"/>
  <c r="HN37" i="12"/>
  <c r="BQ10" i="12"/>
  <c r="BQ38" i="12" s="1"/>
  <c r="BQ37" i="12"/>
  <c r="CW24" i="12"/>
  <c r="CW37" i="12"/>
  <c r="BR24" i="12"/>
  <c r="BR37" i="12"/>
  <c r="ED24" i="12"/>
  <c r="ED37" i="12"/>
  <c r="DE10" i="12"/>
  <c r="DE38" i="12" s="1"/>
  <c r="DE37" i="12"/>
  <c r="FA10" i="12"/>
  <c r="FA38" i="12" s="1"/>
  <c r="FA37" i="12"/>
  <c r="GG10" i="12"/>
  <c r="GG38" i="12" s="1"/>
  <c r="GG37" i="12"/>
  <c r="HM10" i="12"/>
  <c r="HM38" i="12" s="1"/>
  <c r="HM37" i="12"/>
  <c r="BT10" i="12"/>
  <c r="BT37" i="12"/>
  <c r="CZ10" i="12"/>
  <c r="CZ38" i="12" s="1"/>
  <c r="CZ37" i="12"/>
  <c r="EF10" i="12"/>
  <c r="EF38" i="12" s="1"/>
  <c r="EF37" i="12"/>
  <c r="FL10" i="12"/>
  <c r="FL38" i="12" s="1"/>
  <c r="FL37" i="12"/>
  <c r="GR10" i="12"/>
  <c r="GR38" i="12" s="1"/>
  <c r="GR37" i="12"/>
  <c r="HX10" i="12"/>
  <c r="HX38" i="12" s="1"/>
  <c r="HX37" i="12"/>
  <c r="CA12" i="12"/>
  <c r="CA37" i="12"/>
  <c r="DG12" i="12"/>
  <c r="DG37" i="12"/>
  <c r="EM12" i="12"/>
  <c r="EM37" i="12"/>
  <c r="FS12" i="12"/>
  <c r="FS37" i="12"/>
  <c r="GY12" i="12"/>
  <c r="GY37" i="12"/>
  <c r="IE12" i="12"/>
  <c r="IE37" i="12"/>
  <c r="CL12" i="12"/>
  <c r="CL37" i="12"/>
  <c r="DR10" i="12"/>
  <c r="DR38" i="12" s="1"/>
  <c r="DR37" i="12"/>
  <c r="EX10" i="12"/>
  <c r="EX38" i="12" s="1"/>
  <c r="EX37" i="12"/>
  <c r="GD10" i="12"/>
  <c r="GD38" i="12" s="1"/>
  <c r="GD37" i="12"/>
  <c r="HJ24" i="12"/>
  <c r="HJ37" i="12"/>
  <c r="BU24" i="12"/>
  <c r="BU37" i="12"/>
  <c r="DA12" i="12"/>
  <c r="DA37" i="12"/>
  <c r="GS24" i="12"/>
  <c r="GS37" i="12"/>
  <c r="GM24" i="12"/>
  <c r="GM37" i="12"/>
  <c r="HS24" i="12"/>
  <c r="HS37" i="12"/>
  <c r="HE12" i="12"/>
  <c r="CB12" i="12"/>
  <c r="DH24" i="12"/>
  <c r="DX24" i="12"/>
  <c r="EN12" i="12"/>
  <c r="GJ24" i="12"/>
  <c r="GZ12" i="12"/>
  <c r="IF12" i="12"/>
  <c r="GA12" i="12"/>
  <c r="HW24" i="12"/>
  <c r="BN24" i="12"/>
  <c r="CD24" i="12"/>
  <c r="EP24" i="12"/>
  <c r="FF12" i="12"/>
  <c r="GL12" i="12"/>
  <c r="DI24" i="12"/>
  <c r="DY24" i="12"/>
  <c r="FU24" i="12"/>
  <c r="HQ12" i="12"/>
  <c r="EZ24" i="12"/>
  <c r="FP12" i="12"/>
  <c r="EI10" i="12"/>
  <c r="EI38" i="12" s="1"/>
  <c r="FO10" i="12"/>
  <c r="FO38" i="12" s="1"/>
  <c r="FO12" i="12"/>
  <c r="GE12" i="12"/>
  <c r="GU24" i="12"/>
  <c r="DN24" i="12"/>
  <c r="ET12" i="12"/>
  <c r="IC10" i="12"/>
  <c r="IC38" i="12" s="1"/>
  <c r="CJ12" i="12"/>
  <c r="GB10" i="12"/>
  <c r="GB38" i="12" s="1"/>
  <c r="HH12" i="12"/>
  <c r="CQ24" i="12"/>
  <c r="GI10" i="12"/>
  <c r="GI38" i="12" s="1"/>
  <c r="FN12" i="12"/>
  <c r="BZ12" i="12"/>
  <c r="DF10" i="12"/>
  <c r="DF38" i="12" s="1"/>
  <c r="EL12" i="12"/>
  <c r="FR10" i="12"/>
  <c r="FR38" i="12" s="1"/>
  <c r="ID10" i="12"/>
  <c r="ID38" i="12" s="1"/>
  <c r="CG24" i="12"/>
  <c r="DS10" i="12"/>
  <c r="DS38" i="12" s="1"/>
  <c r="GE10" i="12"/>
  <c r="GE25" i="12" s="1"/>
  <c r="CH24" i="12"/>
  <c r="ET10" i="12"/>
  <c r="ET38" i="12" s="1"/>
  <c r="HV10" i="12"/>
  <c r="DU12" i="12"/>
  <c r="FQ24" i="12"/>
  <c r="GW24" i="12"/>
  <c r="DP24" i="12"/>
  <c r="DW12" i="12"/>
  <c r="BV10" i="12"/>
  <c r="BV38" i="12" s="1"/>
  <c r="BV40" i="12" s="1"/>
  <c r="DB24" i="12"/>
  <c r="GT24" i="12"/>
  <c r="CK24" i="12"/>
  <c r="GC10" i="12"/>
  <c r="GC25" i="12" s="1"/>
  <c r="HI24" i="12"/>
  <c r="EB10" i="12"/>
  <c r="CW13" i="12"/>
  <c r="CW25" i="12"/>
  <c r="FY25" i="12"/>
  <c r="GO13" i="12"/>
  <c r="GO25" i="12"/>
  <c r="HP13" i="12"/>
  <c r="HP25" i="12"/>
  <c r="BS13" i="12"/>
  <c r="BS15" i="12" s="1"/>
  <c r="BS25" i="12"/>
  <c r="CI13" i="12"/>
  <c r="CI25" i="12"/>
  <c r="CI27" i="12" s="1"/>
  <c r="EE13" i="12"/>
  <c r="EE25" i="12"/>
  <c r="GQ13" i="12"/>
  <c r="GQ25" i="12"/>
  <c r="DF25" i="12"/>
  <c r="FR25" i="12"/>
  <c r="ID25" i="12"/>
  <c r="BW13" i="12"/>
  <c r="BW25" i="12"/>
  <c r="BW27" i="12" s="1"/>
  <c r="BW40" i="12"/>
  <c r="CM13" i="12"/>
  <c r="CM25" i="12"/>
  <c r="DC13" i="12"/>
  <c r="EY13" i="12"/>
  <c r="EY25" i="12"/>
  <c r="GU13" i="12"/>
  <c r="GU25" i="12"/>
  <c r="HK13" i="12"/>
  <c r="HK25" i="12"/>
  <c r="IA13" i="12"/>
  <c r="IA25" i="12"/>
  <c r="ET25" i="12"/>
  <c r="CP13" i="12"/>
  <c r="CP25" i="12"/>
  <c r="DV13" i="12"/>
  <c r="DV25" i="12"/>
  <c r="FB13" i="12"/>
  <c r="FB25" i="12"/>
  <c r="GH13" i="12"/>
  <c r="GH25" i="12"/>
  <c r="HN13" i="12"/>
  <c r="HN25" i="12"/>
  <c r="BQ13" i="12"/>
  <c r="BQ25" i="12"/>
  <c r="DE13" i="12"/>
  <c r="DE25" i="12"/>
  <c r="FA13" i="12"/>
  <c r="FA25" i="12"/>
  <c r="GG13" i="12"/>
  <c r="GG25" i="12"/>
  <c r="HM13" i="12"/>
  <c r="HM25" i="12"/>
  <c r="CZ13" i="12"/>
  <c r="CZ25" i="12"/>
  <c r="EF13" i="12"/>
  <c r="EF25" i="12"/>
  <c r="FL13" i="12"/>
  <c r="FL25" i="12"/>
  <c r="GR13" i="12"/>
  <c r="GR25" i="12"/>
  <c r="HX13" i="12"/>
  <c r="HX25" i="12"/>
  <c r="DR13" i="12"/>
  <c r="DR25" i="12"/>
  <c r="EX13" i="12"/>
  <c r="EX25" i="12"/>
  <c r="GD13" i="12"/>
  <c r="GD25" i="12"/>
  <c r="BX25" i="12"/>
  <c r="BX13" i="12"/>
  <c r="BX15" i="12" s="1"/>
  <c r="HU13" i="12"/>
  <c r="HU25" i="12"/>
  <c r="CR13" i="12"/>
  <c r="CR25" i="12"/>
  <c r="EN13" i="12"/>
  <c r="FD13" i="12"/>
  <c r="FD25" i="12"/>
  <c r="FT13" i="12"/>
  <c r="FT25" i="12"/>
  <c r="DO13" i="12"/>
  <c r="DO25" i="12"/>
  <c r="HG13" i="12"/>
  <c r="HG25" i="12"/>
  <c r="CT13" i="12"/>
  <c r="DJ13" i="12"/>
  <c r="DJ25" i="12"/>
  <c r="DZ13" i="12"/>
  <c r="DZ25" i="12"/>
  <c r="FF13" i="12"/>
  <c r="FV13" i="12"/>
  <c r="FV25" i="12"/>
  <c r="HR13" i="12"/>
  <c r="HR25" i="12"/>
  <c r="BM13" i="12"/>
  <c r="BM15" i="12" s="1"/>
  <c r="CC13" i="12"/>
  <c r="CC15" i="12" s="1"/>
  <c r="CC25" i="12"/>
  <c r="CS13" i="12"/>
  <c r="CS25" i="12"/>
  <c r="DY13" i="12"/>
  <c r="EO13" i="12"/>
  <c r="EO25" i="12"/>
  <c r="FE25" i="12"/>
  <c r="GK13" i="12"/>
  <c r="GK25" i="12"/>
  <c r="HA13" i="12"/>
  <c r="HA25" i="12"/>
  <c r="DD13" i="12"/>
  <c r="DD25" i="12"/>
  <c r="DT13" i="12"/>
  <c r="DT25" i="12"/>
  <c r="EJ13" i="12"/>
  <c r="FP13" i="12"/>
  <c r="GF25" i="12"/>
  <c r="GV13" i="12"/>
  <c r="GV25" i="12"/>
  <c r="IB13" i="12"/>
  <c r="IB25" i="12"/>
  <c r="FZ13" i="12"/>
  <c r="FZ25" i="12"/>
  <c r="HF13" i="12"/>
  <c r="HF25" i="12"/>
  <c r="CO25" i="12"/>
  <c r="IC13" i="12"/>
  <c r="IC25" i="12"/>
  <c r="GB13" i="12"/>
  <c r="GB25" i="12"/>
  <c r="DK13" i="12"/>
  <c r="DK25" i="12"/>
  <c r="FW13" i="12"/>
  <c r="FW25" i="12"/>
  <c r="BZ13" i="12"/>
  <c r="BZ15" i="12" s="1"/>
  <c r="GX13" i="12"/>
  <c r="FJ13" i="12"/>
  <c r="GW13" i="12"/>
  <c r="HH13" i="12"/>
  <c r="FN13" i="12"/>
  <c r="CK13" i="12"/>
  <c r="CK15" i="12" s="1"/>
  <c r="CH13" i="12"/>
  <c r="CH15" i="12" s="1"/>
  <c r="HE13" i="12"/>
  <c r="GJ13" i="12"/>
  <c r="FK13" i="12"/>
  <c r="CD13" i="12"/>
  <c r="CD15" i="12" s="1"/>
  <c r="DU13" i="12"/>
  <c r="DH13" i="12"/>
  <c r="EU13" i="12"/>
  <c r="GL13" i="12"/>
  <c r="FU13" i="12"/>
  <c r="EZ13" i="12"/>
  <c r="BT25" i="12"/>
  <c r="BT27" i="12" s="1"/>
  <c r="DF12" i="12"/>
  <c r="FR12" i="12"/>
  <c r="GX24" i="12"/>
  <c r="ID24" i="12"/>
  <c r="CG10" i="12"/>
  <c r="CG38" i="12" s="1"/>
  <c r="DM24" i="12"/>
  <c r="ES12" i="12"/>
  <c r="FI12" i="12"/>
  <c r="HE24" i="12"/>
  <c r="DH12" i="12"/>
  <c r="DX12" i="12"/>
  <c r="GJ12" i="12"/>
  <c r="IF24" i="12"/>
  <c r="CY12" i="12"/>
  <c r="EU12" i="12"/>
  <c r="FK12" i="12"/>
  <c r="HW12" i="12"/>
  <c r="BN12" i="12"/>
  <c r="CD12" i="12"/>
  <c r="EP12" i="12"/>
  <c r="GL24" i="12"/>
  <c r="FU12" i="12"/>
  <c r="IG12" i="12"/>
  <c r="CN12" i="12"/>
  <c r="EZ12" i="12"/>
  <c r="HL24" i="12"/>
  <c r="CH12" i="12"/>
  <c r="CX10" i="12"/>
  <c r="CX38" i="12" s="1"/>
  <c r="DN12" i="12"/>
  <c r="FJ12" i="12"/>
  <c r="HV12" i="12"/>
  <c r="BY10" i="12"/>
  <c r="BY38" i="12" s="1"/>
  <c r="DU24" i="12"/>
  <c r="EK12" i="12"/>
  <c r="FQ10" i="12"/>
  <c r="FQ38" i="12" s="1"/>
  <c r="GW12" i="12"/>
  <c r="IC24" i="12"/>
  <c r="DP10" i="12"/>
  <c r="DP38" i="12" s="1"/>
  <c r="EV12" i="12"/>
  <c r="GB24" i="12"/>
  <c r="DW10" i="12"/>
  <c r="DW38" i="12" s="1"/>
  <c r="FC24" i="12"/>
  <c r="GI12" i="12"/>
  <c r="HO24" i="12"/>
  <c r="DB12" i="12"/>
  <c r="EH10" i="12"/>
  <c r="EH38" i="12" s="1"/>
  <c r="FN24" i="12"/>
  <c r="GT12" i="12"/>
  <c r="HZ10" i="12"/>
  <c r="HZ38" i="12" s="1"/>
  <c r="CK12" i="12"/>
  <c r="DQ10" i="12"/>
  <c r="DQ38" i="12" s="1"/>
  <c r="GC12" i="12"/>
  <c r="BP10" i="12"/>
  <c r="BP38" i="12" s="1"/>
  <c r="EB12" i="12"/>
  <c r="FH24" i="12"/>
  <c r="GN10" i="12"/>
  <c r="GN38" i="12" s="1"/>
  <c r="CE12" i="12"/>
  <c r="EQ12" i="12"/>
  <c r="FW24" i="12"/>
  <c r="HC12" i="12"/>
  <c r="BR12" i="12"/>
  <c r="GP24" i="12"/>
  <c r="HM12" i="12"/>
  <c r="CZ12" i="12"/>
  <c r="FL12" i="12"/>
  <c r="HX24" i="12"/>
  <c r="FS24" i="12"/>
  <c r="IE24" i="12"/>
  <c r="DR24" i="12"/>
  <c r="GD24" i="12"/>
  <c r="D14" i="14"/>
  <c r="D14" i="15" s="1"/>
  <c r="DA10" i="12"/>
  <c r="DA38" i="12" s="1"/>
  <c r="FM24" i="12"/>
  <c r="HY12" i="12"/>
  <c r="DL12" i="12"/>
  <c r="FX12" i="12"/>
  <c r="D5" i="14"/>
  <c r="F34" i="14" s="1"/>
  <c r="BZ24" i="12"/>
  <c r="DF24" i="12"/>
  <c r="EL24" i="12"/>
  <c r="GX12" i="12"/>
  <c r="DM12" i="12"/>
  <c r="FJ24" i="12"/>
  <c r="HV24" i="12"/>
  <c r="D23" i="14"/>
  <c r="G23" i="14" s="1"/>
  <c r="D40" i="14" s="1"/>
  <c r="E40" i="14" s="1"/>
  <c r="EK24" i="12"/>
  <c r="IC12" i="12"/>
  <c r="CJ24" i="12"/>
  <c r="DP12" i="12"/>
  <c r="EV24" i="12"/>
  <c r="GB12" i="12"/>
  <c r="HH24" i="12"/>
  <c r="CQ10" i="12"/>
  <c r="CQ38" i="12" s="1"/>
  <c r="FC10" i="12"/>
  <c r="FC38" i="12" s="1"/>
  <c r="GI24" i="12"/>
  <c r="HO10" i="12"/>
  <c r="HO38" i="12" s="1"/>
  <c r="BV24" i="12"/>
  <c r="EH24" i="12"/>
  <c r="HZ24" i="12"/>
  <c r="DQ12" i="12"/>
  <c r="EW10" i="12"/>
  <c r="EW38" i="12" s="1"/>
  <c r="HI10" i="12"/>
  <c r="HI38" i="12" s="1"/>
  <c r="BP24" i="12"/>
  <c r="CV10" i="12"/>
  <c r="CV38" i="12" s="1"/>
  <c r="EB24" i="12"/>
  <c r="FH10" i="12"/>
  <c r="FH38" i="12" s="1"/>
  <c r="GN24" i="12"/>
  <c r="HT10" i="12"/>
  <c r="HT38" i="12" s="1"/>
  <c r="CE10" i="12"/>
  <c r="CE38" i="12" s="1"/>
  <c r="DK12" i="12"/>
  <c r="EQ10" i="12"/>
  <c r="EQ38" i="12" s="1"/>
  <c r="FW12" i="12"/>
  <c r="HC10" i="12"/>
  <c r="HC38" i="12" s="1"/>
  <c r="AA10" i="12"/>
  <c r="G20" i="9"/>
  <c r="H20" i="9" s="1"/>
  <c r="Z10" i="12"/>
  <c r="D8" i="14"/>
  <c r="CP12" i="12"/>
  <c r="DV24" i="12"/>
  <c r="D17" i="14"/>
  <c r="D17" i="15" s="1"/>
  <c r="BQ24" i="12"/>
  <c r="CW12" i="12"/>
  <c r="EC10" i="12"/>
  <c r="EC38" i="12" s="1"/>
  <c r="D20" i="14"/>
  <c r="D20" i="15" s="1"/>
  <c r="X10" i="12"/>
  <c r="W10" i="12"/>
  <c r="BR10" i="12"/>
  <c r="BR38" i="12" s="1"/>
  <c r="ED10" i="12"/>
  <c r="ED38" i="12" s="1"/>
  <c r="GP10" i="12"/>
  <c r="GP38" i="12" s="1"/>
  <c r="DE12" i="12"/>
  <c r="FA12" i="12"/>
  <c r="GG24" i="12"/>
  <c r="CA24" i="12"/>
  <c r="DG24" i="12"/>
  <c r="EM24" i="12"/>
  <c r="DR12" i="12"/>
  <c r="EX12" i="12"/>
  <c r="GD12" i="12"/>
  <c r="HJ10" i="12"/>
  <c r="HJ38" i="12" s="1"/>
  <c r="BU12" i="12"/>
  <c r="DA24" i="12"/>
  <c r="EG10" i="12"/>
  <c r="EG38" i="12" s="1"/>
  <c r="FM10" i="12"/>
  <c r="FM38" i="12" s="1"/>
  <c r="GS10" i="12"/>
  <c r="GS38" i="12" s="1"/>
  <c r="HY10" i="12"/>
  <c r="HY38" i="12" s="1"/>
  <c r="CF10" i="12"/>
  <c r="CF38" i="12" s="1"/>
  <c r="DL10" i="12"/>
  <c r="DL38" i="12" s="1"/>
  <c r="ER10" i="12"/>
  <c r="ER38" i="12" s="1"/>
  <c r="FX10" i="12"/>
  <c r="FX38" i="12" s="1"/>
  <c r="HD10" i="12"/>
  <c r="HD38" i="12" s="1"/>
  <c r="BO12" i="12"/>
  <c r="CU12" i="12"/>
  <c r="EA12" i="12"/>
  <c r="FG12" i="12"/>
  <c r="GM12" i="12"/>
  <c r="HS12" i="12"/>
  <c r="D26" i="14"/>
  <c r="D26" i="15" s="1"/>
  <c r="CP24" i="12"/>
  <c r="DV12" i="12"/>
  <c r="FB12" i="12"/>
  <c r="GH12" i="12"/>
  <c r="HN24" i="12"/>
  <c r="BQ12" i="12"/>
  <c r="D29" i="14"/>
  <c r="G29" i="14" s="1"/>
  <c r="D42" i="14" s="1"/>
  <c r="E42" i="14" s="1"/>
  <c r="EC24" i="12"/>
  <c r="D32" i="14"/>
  <c r="G32" i="14" s="1"/>
  <c r="D43" i="14" s="1"/>
  <c r="E43" i="14" s="1"/>
  <c r="GP12" i="12"/>
  <c r="D11" i="14"/>
  <c r="DE24" i="12"/>
  <c r="FA24" i="12"/>
  <c r="HM24" i="12"/>
  <c r="BT24" i="12"/>
  <c r="CZ24" i="12"/>
  <c r="EF24" i="12"/>
  <c r="FL24" i="12"/>
  <c r="GR24" i="12"/>
  <c r="HX12" i="12"/>
  <c r="CA10" i="12"/>
  <c r="CA38" i="12" s="1"/>
  <c r="DG10" i="12"/>
  <c r="DG38" i="12" s="1"/>
  <c r="EM10" i="12"/>
  <c r="EM38" i="12" s="1"/>
  <c r="FS10" i="12"/>
  <c r="FS38" i="12" s="1"/>
  <c r="GY10" i="12"/>
  <c r="GY38" i="12" s="1"/>
  <c r="IE10" i="12"/>
  <c r="IE38" i="12" s="1"/>
  <c r="CL10" i="12"/>
  <c r="CL38" i="12" s="1"/>
  <c r="HJ12" i="12"/>
  <c r="BU10" i="12"/>
  <c r="BU38" i="12" s="1"/>
  <c r="EG12" i="12"/>
  <c r="FM12" i="12"/>
  <c r="HY24" i="12"/>
  <c r="CF24" i="12"/>
  <c r="DL24" i="12"/>
  <c r="ER24" i="12"/>
  <c r="FX24" i="12"/>
  <c r="HD24" i="12"/>
  <c r="BO10" i="12"/>
  <c r="BO38" i="12" s="1"/>
  <c r="CU10" i="12"/>
  <c r="CU38" i="12" s="1"/>
  <c r="EA10" i="12"/>
  <c r="EA38" i="12" s="1"/>
  <c r="FG10" i="12"/>
  <c r="FG38" i="12" s="1"/>
  <c r="GM10" i="12"/>
  <c r="GM38" i="12" s="1"/>
  <c r="HS10" i="12"/>
  <c r="HS38" i="12" s="1"/>
  <c r="BZ40" i="12"/>
  <c r="BQ40" i="12"/>
  <c r="BQ15" i="12"/>
  <c r="BQ27" i="12"/>
  <c r="BM40" i="12"/>
  <c r="CC27" i="12"/>
  <c r="CC40" i="12"/>
  <c r="BW15" i="12"/>
  <c r="D5" i="15"/>
  <c r="CK40" i="12"/>
  <c r="BS40" i="12"/>
  <c r="BS27" i="12"/>
  <c r="CI15" i="12"/>
  <c r="BN40" i="12"/>
  <c r="BX27" i="12"/>
  <c r="BX40" i="12"/>
  <c r="G26" i="14"/>
  <c r="D41" i="14" s="1"/>
  <c r="E41" i="14" s="1"/>
  <c r="K20" i="9"/>
  <c r="J12" i="6"/>
  <c r="CM1" i="12"/>
  <c r="N12" i="9"/>
  <c r="N20" i="9"/>
  <c r="I52" i="9"/>
  <c r="L10" i="9"/>
  <c r="L21" i="9"/>
  <c r="J13" i="9"/>
  <c r="J52" i="9" s="1"/>
  <c r="K16" i="9"/>
  <c r="J8" i="6"/>
  <c r="J9" i="6"/>
  <c r="H39" i="5"/>
  <c r="FO13" i="12" l="1"/>
  <c r="DS13" i="12"/>
  <c r="I20" i="9"/>
  <c r="HL13" i="12"/>
  <c r="IG13" i="12"/>
  <c r="DI13" i="12"/>
  <c r="BN13" i="12"/>
  <c r="BN15" i="12" s="1"/>
  <c r="IF13" i="12"/>
  <c r="FI13" i="12"/>
  <c r="EP13" i="12"/>
  <c r="HW13" i="12"/>
  <c r="CY13" i="12"/>
  <c r="DX13" i="12"/>
  <c r="ES13" i="12"/>
  <c r="DN13" i="12"/>
  <c r="GT13" i="12"/>
  <c r="DB13" i="12"/>
  <c r="EV13" i="12"/>
  <c r="EK13" i="12"/>
  <c r="DM13" i="12"/>
  <c r="EL13" i="12"/>
  <c r="GI13" i="12"/>
  <c r="CO13" i="12"/>
  <c r="GF13" i="12"/>
  <c r="EJ25" i="12"/>
  <c r="HQ13" i="12"/>
  <c r="FE13" i="12"/>
  <c r="BM25" i="12"/>
  <c r="BM27" i="12" s="1"/>
  <c r="HB13" i="12"/>
  <c r="CT25" i="12"/>
  <c r="GA13" i="12"/>
  <c r="DC25" i="12"/>
  <c r="GZ25" i="12"/>
  <c r="FY13" i="12"/>
  <c r="G20" i="14"/>
  <c r="D39" i="14" s="1"/>
  <c r="E39" i="14" s="1"/>
  <c r="ET13" i="12"/>
  <c r="FO25" i="12"/>
  <c r="FR13" i="12"/>
  <c r="DF13" i="12"/>
  <c r="D29" i="15"/>
  <c r="EI13" i="12"/>
  <c r="BV13" i="12"/>
  <c r="BV15" i="12" s="1"/>
  <c r="EB13" i="12"/>
  <c r="EB38" i="12"/>
  <c r="GC13" i="12"/>
  <c r="GC38" i="12"/>
  <c r="HV25" i="12"/>
  <c r="HV38" i="12"/>
  <c r="CB13" i="12"/>
  <c r="CB15" i="12" s="1"/>
  <c r="CB38" i="12"/>
  <c r="CB40" i="12" s="1"/>
  <c r="CN13" i="12"/>
  <c r="CN38" i="12"/>
  <c r="CJ13" i="12"/>
  <c r="CJ15" i="12" s="1"/>
  <c r="CJ38" i="12"/>
  <c r="CJ40" i="12" s="1"/>
  <c r="GE13" i="12"/>
  <c r="GE38" i="12"/>
  <c r="BT13" i="12"/>
  <c r="BT15" i="12" s="1"/>
  <c r="BT38" i="12"/>
  <c r="BT40" i="12" s="1"/>
  <c r="M20" i="9"/>
  <c r="L20" i="9"/>
  <c r="J20" i="9"/>
  <c r="D23" i="15"/>
  <c r="CB25" i="12"/>
  <c r="CB27" i="12" s="1"/>
  <c r="HL25" i="12"/>
  <c r="EZ25" i="12"/>
  <c r="IG25" i="12"/>
  <c r="FU25" i="12"/>
  <c r="DI25" i="12"/>
  <c r="GL25" i="12"/>
  <c r="BN25" i="12"/>
  <c r="BN27" i="12" s="1"/>
  <c r="EU25" i="12"/>
  <c r="IF25" i="12"/>
  <c r="DH25" i="12"/>
  <c r="FI25" i="12"/>
  <c r="DU25" i="12"/>
  <c r="EP25" i="12"/>
  <c r="CD25" i="12"/>
  <c r="CD27" i="12" s="1"/>
  <c r="HW25" i="12"/>
  <c r="FK25" i="12"/>
  <c r="CY25" i="12"/>
  <c r="GJ25" i="12"/>
  <c r="DX25" i="12"/>
  <c r="HE25" i="12"/>
  <c r="ES25" i="12"/>
  <c r="CH25" i="12"/>
  <c r="CH27" i="12" s="1"/>
  <c r="DN25" i="12"/>
  <c r="CK25" i="12"/>
  <c r="CK27" i="12" s="1"/>
  <c r="GT25" i="12"/>
  <c r="FN25" i="12"/>
  <c r="DB25" i="12"/>
  <c r="HH25" i="12"/>
  <c r="EV25" i="12"/>
  <c r="GW25" i="12"/>
  <c r="EK25" i="12"/>
  <c r="FJ25" i="12"/>
  <c r="DM25" i="12"/>
  <c r="GX25" i="12"/>
  <c r="EL25" i="12"/>
  <c r="BZ25" i="12"/>
  <c r="BZ27" i="12" s="1"/>
  <c r="GI25" i="12"/>
  <c r="FP25" i="12"/>
  <c r="HQ25" i="12"/>
  <c r="DY25" i="12"/>
  <c r="HB25" i="12"/>
  <c r="FF25" i="12"/>
  <c r="GA25" i="12"/>
  <c r="EN25" i="12"/>
  <c r="CN25" i="12"/>
  <c r="EB25" i="12"/>
  <c r="BV25" i="12"/>
  <c r="BV27" i="12" s="1"/>
  <c r="HV13" i="12"/>
  <c r="EI25" i="12"/>
  <c r="DS25" i="12"/>
  <c r="ID13" i="12"/>
  <c r="GZ13" i="12"/>
  <c r="D32" i="15"/>
  <c r="GM13" i="12"/>
  <c r="GM25" i="12"/>
  <c r="EA13" i="12"/>
  <c r="EA25" i="12"/>
  <c r="BO13" i="12"/>
  <c r="BO15" i="12" s="1"/>
  <c r="BO25" i="12"/>
  <c r="BO27" i="12" s="1"/>
  <c r="CL40" i="12"/>
  <c r="CL13" i="12"/>
  <c r="CL15" i="12" s="1"/>
  <c r="CL25" i="12"/>
  <c r="CL27" i="12" s="1"/>
  <c r="IE13" i="12"/>
  <c r="IE25" i="12"/>
  <c r="FS13" i="12"/>
  <c r="FS25" i="12"/>
  <c r="DG13" i="12"/>
  <c r="DG25" i="12"/>
  <c r="HD13" i="12"/>
  <c r="HD25" i="12"/>
  <c r="ER13" i="12"/>
  <c r="ER25" i="12"/>
  <c r="CF13" i="12"/>
  <c r="CF15" i="12" s="1"/>
  <c r="CF25" i="12"/>
  <c r="CF27" i="12" s="1"/>
  <c r="GS13" i="12"/>
  <c r="GS25" i="12"/>
  <c r="EG13" i="12"/>
  <c r="EG25" i="12"/>
  <c r="ED13" i="12"/>
  <c r="ED25" i="12"/>
  <c r="HT13" i="12"/>
  <c r="HT25" i="12"/>
  <c r="FH13" i="12"/>
  <c r="FH25" i="12"/>
  <c r="CV13" i="12"/>
  <c r="CV25" i="12"/>
  <c r="HI13" i="12"/>
  <c r="HI25" i="12"/>
  <c r="EW13" i="12"/>
  <c r="EW25" i="12"/>
  <c r="EH13" i="12"/>
  <c r="EH25" i="12"/>
  <c r="DW13" i="12"/>
  <c r="DW25" i="12"/>
  <c r="BY13" i="12"/>
  <c r="BY15" i="12" s="1"/>
  <c r="BY25" i="12"/>
  <c r="BY27" i="12" s="1"/>
  <c r="BY40" i="12"/>
  <c r="HS13" i="12"/>
  <c r="HS25" i="12"/>
  <c r="FG13" i="12"/>
  <c r="FG25" i="12"/>
  <c r="CU13" i="12"/>
  <c r="CU25" i="12"/>
  <c r="BU40" i="12"/>
  <c r="BU13" i="12"/>
  <c r="BU25" i="12"/>
  <c r="GY13" i="12"/>
  <c r="GY25" i="12"/>
  <c r="EM13" i="12"/>
  <c r="EM25" i="12"/>
  <c r="CA13" i="12"/>
  <c r="CA15" i="12" s="1"/>
  <c r="CA25" i="12"/>
  <c r="CA27" i="12" s="1"/>
  <c r="CA40" i="12"/>
  <c r="FX13" i="12"/>
  <c r="FX25" i="12"/>
  <c r="DL13" i="12"/>
  <c r="DL25" i="12"/>
  <c r="HY13" i="12"/>
  <c r="HY25" i="12"/>
  <c r="FM13" i="12"/>
  <c r="FM25" i="12"/>
  <c r="HJ13" i="12"/>
  <c r="HJ25" i="12"/>
  <c r="GP13" i="12"/>
  <c r="GP25" i="12"/>
  <c r="BR13" i="12"/>
  <c r="BR15" i="12" s="1"/>
  <c r="BR25" i="12"/>
  <c r="BR27" i="12" s="1"/>
  <c r="EC13" i="12"/>
  <c r="EC25" i="12"/>
  <c r="HC13" i="12"/>
  <c r="HC25" i="12"/>
  <c r="EQ13" i="12"/>
  <c r="EQ25" i="12"/>
  <c r="CE40" i="12"/>
  <c r="CE13" i="12"/>
  <c r="CE15" i="12" s="1"/>
  <c r="CE25" i="12"/>
  <c r="CE27" i="12" s="1"/>
  <c r="HO13" i="12"/>
  <c r="HO25" i="12"/>
  <c r="FC13" i="12"/>
  <c r="FC25" i="12"/>
  <c r="CQ13" i="12"/>
  <c r="CQ25" i="12"/>
  <c r="DA13" i="12"/>
  <c r="DA25" i="12"/>
  <c r="GN13" i="12"/>
  <c r="GN25" i="12"/>
  <c r="BP40" i="12"/>
  <c r="BP13" i="12"/>
  <c r="BP15" i="12" s="1"/>
  <c r="BP25" i="12"/>
  <c r="BP27" i="12" s="1"/>
  <c r="DQ13" i="12"/>
  <c r="DQ25" i="12"/>
  <c r="HZ13" i="12"/>
  <c r="HZ25" i="12"/>
  <c r="DP13" i="12"/>
  <c r="DP25" i="12"/>
  <c r="FQ13" i="12"/>
  <c r="FQ25" i="12"/>
  <c r="CX13" i="12"/>
  <c r="CX25" i="12"/>
  <c r="CG40" i="12"/>
  <c r="CG13" i="12"/>
  <c r="CG15" i="12" s="1"/>
  <c r="CG25" i="12"/>
  <c r="CG27" i="12" s="1"/>
  <c r="D11" i="15"/>
  <c r="F36" i="14"/>
  <c r="D8" i="15"/>
  <c r="F35" i="14"/>
  <c r="BU15" i="12"/>
  <c r="CF40" i="12"/>
  <c r="BR40" i="12"/>
  <c r="BU27" i="12"/>
  <c r="BO40" i="12"/>
  <c r="CN1" i="12"/>
  <c r="CM15" i="12"/>
  <c r="CM27" i="12"/>
  <c r="CM40" i="12"/>
  <c r="K13" i="9"/>
  <c r="K52" i="9" s="1"/>
  <c r="L16" i="9"/>
  <c r="M10" i="9"/>
  <c r="M21" i="9"/>
  <c r="O20" i="9"/>
  <c r="O12" i="9"/>
  <c r="E28" i="4"/>
  <c r="E29" i="4"/>
  <c r="D29" i="4"/>
  <c r="CO1" i="12" l="1"/>
  <c r="CN15" i="12"/>
  <c r="CN27" i="12"/>
  <c r="CN40" i="12"/>
  <c r="N10" i="9"/>
  <c r="N21" i="9"/>
  <c r="P12" i="9"/>
  <c r="P20" i="9"/>
  <c r="L13" i="9"/>
  <c r="L52" i="9" s="1"/>
  <c r="M16" i="9"/>
  <c r="D84" i="4"/>
  <c r="D85" i="4"/>
  <c r="D86" i="4"/>
  <c r="D22" i="4"/>
  <c r="E22" i="4"/>
  <c r="CP1" i="12" l="1"/>
  <c r="CO15" i="12"/>
  <c r="CO27" i="12"/>
  <c r="CO40" i="12"/>
  <c r="M13" i="9"/>
  <c r="M52" i="9" s="1"/>
  <c r="N16" i="9"/>
  <c r="O10" i="9"/>
  <c r="O21" i="9"/>
  <c r="Q20" i="9"/>
  <c r="Q12" i="9"/>
  <c r="B65" i="4"/>
  <c r="D28" i="4"/>
  <c r="CQ1" i="12" l="1"/>
  <c r="CP15" i="12"/>
  <c r="CP27" i="12"/>
  <c r="CP40" i="12"/>
  <c r="R12" i="9"/>
  <c r="R20" i="9"/>
  <c r="P10" i="9"/>
  <c r="P21" i="9"/>
  <c r="N13" i="9"/>
  <c r="N52" i="9" s="1"/>
  <c r="O16" i="9"/>
  <c r="E27" i="4"/>
  <c r="D27" i="4"/>
  <c r="E25" i="4"/>
  <c r="D25" i="4"/>
  <c r="E26" i="4"/>
  <c r="D26" i="4"/>
  <c r="D24" i="4"/>
  <c r="D23" i="4"/>
  <c r="E23" i="4"/>
  <c r="CR1" i="12" l="1"/>
  <c r="CQ15" i="12"/>
  <c r="CQ27" i="12"/>
  <c r="CQ40" i="12"/>
  <c r="O13" i="9"/>
  <c r="O52" i="9" s="1"/>
  <c r="P16" i="9"/>
  <c r="Q10" i="9"/>
  <c r="Q21" i="9"/>
  <c r="S20" i="9"/>
  <c r="S12" i="9"/>
  <c r="E24" i="4"/>
  <c r="D30" i="4"/>
  <c r="CS1" i="12" l="1"/>
  <c r="CR15" i="12"/>
  <c r="CR27" i="12"/>
  <c r="CR40" i="12"/>
  <c r="T12" i="9"/>
  <c r="T20" i="9"/>
  <c r="R10" i="9"/>
  <c r="R21" i="9"/>
  <c r="P13" i="9"/>
  <c r="P52" i="9" s="1"/>
  <c r="Q16" i="9"/>
  <c r="J28" i="5"/>
  <c r="G19" i="9" s="1"/>
  <c r="B35" i="4"/>
  <c r="B16" i="13" l="1"/>
  <c r="G18" i="9"/>
  <c r="G27" i="9" s="1"/>
  <c r="I19" i="9"/>
  <c r="I18" i="9" s="1"/>
  <c r="I27" i="9" s="1"/>
  <c r="H19" i="9"/>
  <c r="H18" i="9" s="1"/>
  <c r="H27" i="9" s="1"/>
  <c r="J19" i="9"/>
  <c r="J18" i="9" s="1"/>
  <c r="J27" i="9" s="1"/>
  <c r="K19" i="9"/>
  <c r="K18" i="9" s="1"/>
  <c r="K27" i="9" s="1"/>
  <c r="L19" i="9"/>
  <c r="L18" i="9" s="1"/>
  <c r="L27" i="9" s="1"/>
  <c r="M19" i="9"/>
  <c r="M18" i="9" s="1"/>
  <c r="M27" i="9" s="1"/>
  <c r="N19" i="9"/>
  <c r="N18" i="9" s="1"/>
  <c r="N27" i="9" s="1"/>
  <c r="O19" i="9"/>
  <c r="O18" i="9" s="1"/>
  <c r="O27" i="9" s="1"/>
  <c r="P19" i="9"/>
  <c r="P18" i="9" s="1"/>
  <c r="P27" i="9" s="1"/>
  <c r="Q19" i="9"/>
  <c r="Q18" i="9" s="1"/>
  <c r="Q27" i="9" s="1"/>
  <c r="R19" i="9"/>
  <c r="R18" i="9" s="1"/>
  <c r="R27" i="9" s="1"/>
  <c r="CT1" i="12"/>
  <c r="CS15" i="12"/>
  <c r="CS27" i="12"/>
  <c r="CS40" i="12"/>
  <c r="Q13" i="9"/>
  <c r="Q52" i="9" s="1"/>
  <c r="R16" i="9"/>
  <c r="S19" i="9"/>
  <c r="S10" i="9"/>
  <c r="S21" i="9"/>
  <c r="U20" i="9"/>
  <c r="U12" i="9"/>
  <c r="K30" i="5"/>
  <c r="G64" i="5" s="1"/>
  <c r="G49" i="5"/>
  <c r="H51" i="5" s="1"/>
  <c r="I51" i="5" s="1"/>
  <c r="G70" i="5" s="1"/>
  <c r="B36" i="4"/>
  <c r="E30" i="4"/>
  <c r="B41" i="4"/>
  <c r="B44" i="4" s="1"/>
  <c r="B66" i="4"/>
  <c r="B28" i="13" l="1"/>
  <c r="CU1" i="12"/>
  <c r="CT15" i="12"/>
  <c r="CT27" i="12"/>
  <c r="CT40" i="12"/>
  <c r="T10" i="9"/>
  <c r="T21" i="9"/>
  <c r="T19" i="9"/>
  <c r="R13" i="9"/>
  <c r="R52" i="9" s="1"/>
  <c r="S16" i="9"/>
  <c r="S18" i="9"/>
  <c r="S27" i="9" s="1"/>
  <c r="V12" i="9"/>
  <c r="V20" i="9"/>
  <c r="B60" i="4"/>
  <c r="B71" i="4" s="1"/>
  <c r="B61" i="4"/>
  <c r="T18" i="9" l="1"/>
  <c r="T27" i="9" s="1"/>
  <c r="CV1" i="12"/>
  <c r="CU15" i="12"/>
  <c r="CU27" i="12"/>
  <c r="CU40" i="12"/>
  <c r="U19" i="9"/>
  <c r="U10" i="9"/>
  <c r="U21" i="9"/>
  <c r="W20" i="9"/>
  <c r="W12" i="9"/>
  <c r="S13" i="9"/>
  <c r="S52" i="9" s="1"/>
  <c r="T16" i="9"/>
  <c r="B37" i="4"/>
  <c r="B15" i="13" l="1"/>
  <c r="B14" i="13" s="1"/>
  <c r="B17" i="13" s="1"/>
  <c r="B45" i="4"/>
  <c r="B3" i="12"/>
  <c r="CW1" i="12"/>
  <c r="CV15" i="12"/>
  <c r="CV27" i="12"/>
  <c r="CV40" i="12"/>
  <c r="V10" i="9"/>
  <c r="V21" i="9"/>
  <c r="V19" i="9"/>
  <c r="V18" i="9" s="1"/>
  <c r="V27" i="9" s="1"/>
  <c r="T13" i="9"/>
  <c r="T52" i="9" s="1"/>
  <c r="U16" i="9"/>
  <c r="X12" i="9"/>
  <c r="X20" i="9"/>
  <c r="U18" i="9"/>
  <c r="U27" i="9" s="1"/>
  <c r="B34" i="4"/>
  <c r="B21" i="13" l="1"/>
  <c r="B35" i="12" s="1"/>
  <c r="B38" i="12" s="1"/>
  <c r="B43" i="4"/>
  <c r="G63" i="5"/>
  <c r="G67" i="5" s="1"/>
  <c r="CX1" i="12"/>
  <c r="CW15" i="12"/>
  <c r="CW27" i="12"/>
  <c r="CW40" i="12"/>
  <c r="U13" i="9"/>
  <c r="U52" i="9" s="1"/>
  <c r="V16" i="9"/>
  <c r="W19" i="9"/>
  <c r="W10" i="9"/>
  <c r="W21" i="9"/>
  <c r="Y20" i="9"/>
  <c r="Y12" i="9"/>
  <c r="B49" i="4" l="1"/>
  <c r="B23" i="13" s="1"/>
  <c r="B4" i="12" s="1"/>
  <c r="G53" i="5"/>
  <c r="G54" i="5" s="1"/>
  <c r="G55" i="5" s="1"/>
  <c r="B32" i="13"/>
  <c r="E36" i="12" s="1"/>
  <c r="E38" i="12" s="1"/>
  <c r="E40" i="12" s="1"/>
  <c r="B29" i="13"/>
  <c r="B37" i="12"/>
  <c r="CY1" i="12"/>
  <c r="CX15" i="12"/>
  <c r="CX27" i="12"/>
  <c r="CX40" i="12"/>
  <c r="Z12" i="9"/>
  <c r="Z20" i="9"/>
  <c r="W18" i="9"/>
  <c r="W27" i="9" s="1"/>
  <c r="X10" i="9"/>
  <c r="X21" i="9"/>
  <c r="X19" i="9"/>
  <c r="V13" i="9"/>
  <c r="V52" i="9" s="1"/>
  <c r="W16" i="9"/>
  <c r="B5" i="12" l="1"/>
  <c r="F3" i="14"/>
  <c r="F3" i="15" s="1"/>
  <c r="B30" i="13"/>
  <c r="B52" i="4" s="1"/>
  <c r="B55" i="4" s="1"/>
  <c r="B72" i="4" s="1"/>
  <c r="E37" i="12"/>
  <c r="F36" i="12"/>
  <c r="G36" i="12" s="1"/>
  <c r="B31" i="13"/>
  <c r="E22" i="12" s="1"/>
  <c r="B39" i="12"/>
  <c r="C39" i="12" s="1"/>
  <c r="D39" i="12" s="1"/>
  <c r="E39" i="12" s="1"/>
  <c r="B40" i="12"/>
  <c r="B41" i="12" s="1"/>
  <c r="CZ1" i="12"/>
  <c r="CY15" i="12"/>
  <c r="CY27" i="12"/>
  <c r="CY40" i="12"/>
  <c r="AA20" i="9"/>
  <c r="AA12" i="9"/>
  <c r="W13" i="9"/>
  <c r="W52" i="9" s="1"/>
  <c r="X16" i="9"/>
  <c r="Y19" i="9"/>
  <c r="Y10" i="9"/>
  <c r="Y21" i="9"/>
  <c r="X18" i="9"/>
  <c r="X27" i="9" s="1"/>
  <c r="B56" i="4" l="1"/>
  <c r="E6" i="12"/>
  <c r="E13" i="12" s="1"/>
  <c r="E15" i="12" s="1"/>
  <c r="B34" i="13"/>
  <c r="B13" i="12"/>
  <c r="B25" i="12"/>
  <c r="B24" i="12"/>
  <c r="B12" i="12"/>
  <c r="F38" i="12"/>
  <c r="F40" i="12" s="1"/>
  <c r="F37" i="12"/>
  <c r="E25" i="12"/>
  <c r="E27" i="12" s="1"/>
  <c r="E24" i="12"/>
  <c r="E23" i="12"/>
  <c r="F6" i="12"/>
  <c r="F13" i="12" s="1"/>
  <c r="F15" i="12" s="1"/>
  <c r="F22" i="12"/>
  <c r="G22" i="12" s="1"/>
  <c r="G38" i="12"/>
  <c r="G40" i="12" s="1"/>
  <c r="G37" i="12"/>
  <c r="F17" i="9"/>
  <c r="J30" i="9" s="1"/>
  <c r="C41" i="12"/>
  <c r="D41" i="12" s="1"/>
  <c r="E41" i="12" s="1"/>
  <c r="H36" i="12"/>
  <c r="DA1" i="12"/>
  <c r="CZ15" i="12"/>
  <c r="CZ27" i="12"/>
  <c r="CZ40" i="12"/>
  <c r="X13" i="9"/>
  <c r="X52" i="9" s="1"/>
  <c r="Y16" i="9"/>
  <c r="AB12" i="9"/>
  <c r="AB20" i="9"/>
  <c r="Y18" i="9"/>
  <c r="Y27" i="9" s="1"/>
  <c r="Z10" i="9"/>
  <c r="Z21" i="9"/>
  <c r="Z19" i="9"/>
  <c r="B67" i="4"/>
  <c r="E12" i="12" l="1"/>
  <c r="B15" i="12"/>
  <c r="B16" i="12" s="1"/>
  <c r="C16" i="12" s="1"/>
  <c r="D16" i="12" s="1"/>
  <c r="E16" i="12" s="1"/>
  <c r="F16" i="12" s="1"/>
  <c r="B14" i="12"/>
  <c r="C14" i="12" s="1"/>
  <c r="D14" i="12" s="1"/>
  <c r="E14" i="12" s="1"/>
  <c r="B26" i="12"/>
  <c r="C26" i="12" s="1"/>
  <c r="D26" i="12" s="1"/>
  <c r="B27" i="12"/>
  <c r="B28" i="12" s="1"/>
  <c r="C28" i="12" s="1"/>
  <c r="D28" i="12" s="1"/>
  <c r="E28" i="12" s="1"/>
  <c r="F12" i="12"/>
  <c r="F41" i="12"/>
  <c r="AU30" i="9"/>
  <c r="AU36" i="9" s="1"/>
  <c r="G30" i="9"/>
  <c r="G36" i="9" s="1"/>
  <c r="F39" i="12"/>
  <c r="G39" i="12" s="1"/>
  <c r="AM30" i="9"/>
  <c r="AM36" i="9" s="1"/>
  <c r="AR30" i="9"/>
  <c r="AR36" i="9" s="1"/>
  <c r="W30" i="9"/>
  <c r="W36" i="9" s="1"/>
  <c r="BC30" i="9"/>
  <c r="BC36" i="9" s="1"/>
  <c r="O30" i="9"/>
  <c r="O31" i="9" s="1"/>
  <c r="O33" i="9" s="1"/>
  <c r="O34" i="9" s="1"/>
  <c r="AE30" i="9"/>
  <c r="AE36" i="9" s="1"/>
  <c r="BD30" i="9"/>
  <c r="BD36" i="9" s="1"/>
  <c r="X30" i="9"/>
  <c r="X36" i="9" s="1"/>
  <c r="G25" i="12"/>
  <c r="G27" i="12" s="1"/>
  <c r="H22" i="12"/>
  <c r="H25" i="12" s="1"/>
  <c r="H27" i="12" s="1"/>
  <c r="H57" i="9"/>
  <c r="AS30" i="9"/>
  <c r="AS36" i="9" s="1"/>
  <c r="AK30" i="9"/>
  <c r="AK36" i="9" s="1"/>
  <c r="U30" i="9"/>
  <c r="U31" i="9" s="1"/>
  <c r="U33" i="9" s="1"/>
  <c r="U34" i="9" s="1"/>
  <c r="H63" i="9"/>
  <c r="BB30" i="9"/>
  <c r="BB36" i="9" s="1"/>
  <c r="T30" i="9"/>
  <c r="T36" i="9" s="1"/>
  <c r="F23" i="12"/>
  <c r="F52" i="9"/>
  <c r="AY30" i="9"/>
  <c r="AY36" i="9" s="1"/>
  <c r="AQ30" i="9"/>
  <c r="AQ36" i="9" s="1"/>
  <c r="AI30" i="9"/>
  <c r="AI36" i="9" s="1"/>
  <c r="AA30" i="9"/>
  <c r="AA36" i="9" s="1"/>
  <c r="S30" i="9"/>
  <c r="S36" i="9" s="1"/>
  <c r="K30" i="9"/>
  <c r="K36" i="9" s="1"/>
  <c r="F37" i="9"/>
  <c r="F38" i="9" s="1"/>
  <c r="F40" i="9" s="1"/>
  <c r="AZ30" i="9"/>
  <c r="AZ36" i="9" s="1"/>
  <c r="AJ30" i="9"/>
  <c r="AJ36" i="9" s="1"/>
  <c r="P30" i="9"/>
  <c r="P36" i="9" s="1"/>
  <c r="G6" i="12"/>
  <c r="G13" i="12" s="1"/>
  <c r="G15" i="12" s="1"/>
  <c r="BA30" i="9"/>
  <c r="BA36" i="9" s="1"/>
  <c r="AC30" i="9"/>
  <c r="AC36" i="9" s="1"/>
  <c r="M30" i="9"/>
  <c r="M36" i="9" s="1"/>
  <c r="AN30" i="9"/>
  <c r="AN36" i="9" s="1"/>
  <c r="E26" i="12"/>
  <c r="BE30" i="9"/>
  <c r="BE36" i="9" s="1"/>
  <c r="AW30" i="9"/>
  <c r="AW36" i="9" s="1"/>
  <c r="AO30" i="9"/>
  <c r="AO36" i="9" s="1"/>
  <c r="AG30" i="9"/>
  <c r="AG36" i="9" s="1"/>
  <c r="Y30" i="9"/>
  <c r="Y36" i="9" s="1"/>
  <c r="Q30" i="9"/>
  <c r="Q36" i="9" s="1"/>
  <c r="I30" i="9"/>
  <c r="I36" i="9" s="1"/>
  <c r="BF30" i="9"/>
  <c r="BF36" i="9" s="1"/>
  <c r="AV30" i="9"/>
  <c r="AV36" i="9" s="1"/>
  <c r="AF30" i="9"/>
  <c r="AF36" i="9" s="1"/>
  <c r="H30" i="9"/>
  <c r="H36" i="9" s="1"/>
  <c r="G24" i="12"/>
  <c r="F25" i="12"/>
  <c r="F27" i="12" s="1"/>
  <c r="F24" i="12"/>
  <c r="AB30" i="9"/>
  <c r="AB36" i="9" s="1"/>
  <c r="L30" i="9"/>
  <c r="L36" i="9" s="1"/>
  <c r="AX30" i="9"/>
  <c r="AX36" i="9" s="1"/>
  <c r="AT30" i="9"/>
  <c r="AT36" i="9" s="1"/>
  <c r="AP30" i="9"/>
  <c r="AP36" i="9" s="1"/>
  <c r="AL30" i="9"/>
  <c r="AL36" i="9" s="1"/>
  <c r="AH30" i="9"/>
  <c r="AH36" i="9" s="1"/>
  <c r="AD30" i="9"/>
  <c r="AD36" i="9" s="1"/>
  <c r="Z30" i="9"/>
  <c r="Z36" i="9" s="1"/>
  <c r="V30" i="9"/>
  <c r="V36" i="9" s="1"/>
  <c r="R30" i="9"/>
  <c r="R36" i="9" s="1"/>
  <c r="N30" i="9"/>
  <c r="N36" i="9" s="1"/>
  <c r="H37" i="12"/>
  <c r="H38" i="12"/>
  <c r="H40" i="12" s="1"/>
  <c r="G41" i="12"/>
  <c r="F14" i="12"/>
  <c r="I36" i="12"/>
  <c r="J36" i="9"/>
  <c r="J31" i="9"/>
  <c r="DB1" i="12"/>
  <c r="DA15" i="12"/>
  <c r="DA27" i="12"/>
  <c r="DA40" i="12"/>
  <c r="AA19" i="9"/>
  <c r="AA10" i="9"/>
  <c r="AA21" i="9"/>
  <c r="AC20" i="9"/>
  <c r="AC12" i="9"/>
  <c r="Z18" i="9"/>
  <c r="Z27" i="9" s="1"/>
  <c r="Y13" i="9"/>
  <c r="Y52" i="9" s="1"/>
  <c r="Z16" i="9"/>
  <c r="F28" i="12" l="1"/>
  <c r="G28" i="12" s="1"/>
  <c r="G31" i="9"/>
  <c r="G16" i="12"/>
  <c r="P31" i="9"/>
  <c r="P33" i="9" s="1"/>
  <c r="P34" i="9" s="1"/>
  <c r="I22" i="12"/>
  <c r="I25" i="12" s="1"/>
  <c r="I27" i="12" s="1"/>
  <c r="O36" i="9"/>
  <c r="O37" i="9" s="1"/>
  <c r="O38" i="9" s="1"/>
  <c r="L31" i="9"/>
  <c r="X31" i="9"/>
  <c r="X33" i="9" s="1"/>
  <c r="X34" i="9" s="1"/>
  <c r="I31" i="9"/>
  <c r="I33" i="9" s="1"/>
  <c r="I34" i="9" s="1"/>
  <c r="U36" i="9"/>
  <c r="U51" i="9" s="1"/>
  <c r="H6" i="12"/>
  <c r="H13" i="12" s="1"/>
  <c r="H15" i="12" s="1"/>
  <c r="H16" i="12" s="1"/>
  <c r="H31" i="9"/>
  <c r="H33" i="9" s="1"/>
  <c r="H34" i="9" s="1"/>
  <c r="G23" i="12"/>
  <c r="Q31" i="9"/>
  <c r="Q33" i="9" s="1"/>
  <c r="Q34" i="9" s="1"/>
  <c r="W31" i="9"/>
  <c r="W33" i="9" s="1"/>
  <c r="W34" i="9" s="1"/>
  <c r="H24" i="12"/>
  <c r="Z31" i="9"/>
  <c r="Z33" i="9" s="1"/>
  <c r="Z34" i="9" s="1"/>
  <c r="G12" i="12"/>
  <c r="Y31" i="9"/>
  <c r="Y33" i="9" s="1"/>
  <c r="Y34" i="9" s="1"/>
  <c r="Y51" i="9" s="1"/>
  <c r="R31" i="9"/>
  <c r="R33" i="9" s="1"/>
  <c r="R34" i="9" s="1"/>
  <c r="M31" i="9"/>
  <c r="M33" i="9" s="1"/>
  <c r="M34" i="9" s="1"/>
  <c r="T31" i="9"/>
  <c r="T33" i="9" s="1"/>
  <c r="T34" i="9" s="1"/>
  <c r="K31" i="9"/>
  <c r="K33" i="9" s="1"/>
  <c r="K34" i="9" s="1"/>
  <c r="K37" i="9" s="1"/>
  <c r="K38" i="9" s="1"/>
  <c r="S31" i="9"/>
  <c r="S33" i="9" s="1"/>
  <c r="S34" i="9" s="1"/>
  <c r="S51" i="9" s="1"/>
  <c r="H28" i="12"/>
  <c r="F26" i="12"/>
  <c r="G26" i="12" s="1"/>
  <c r="H26" i="12" s="1"/>
  <c r="N31" i="9"/>
  <c r="N33" i="9" s="1"/>
  <c r="N34" i="9" s="1"/>
  <c r="N37" i="9" s="1"/>
  <c r="N38" i="9" s="1"/>
  <c r="V31" i="9"/>
  <c r="V33" i="9" s="1"/>
  <c r="V34" i="9" s="1"/>
  <c r="I38" i="12"/>
  <c r="I40" i="12" s="1"/>
  <c r="I37" i="12"/>
  <c r="H41" i="12"/>
  <c r="G14" i="12"/>
  <c r="H39" i="12"/>
  <c r="J36" i="12"/>
  <c r="J33" i="9"/>
  <c r="J34" i="9" s="1"/>
  <c r="L33" i="9"/>
  <c r="L34" i="9" s="1"/>
  <c r="G33" i="9"/>
  <c r="G34" i="9" s="1"/>
  <c r="O51" i="9"/>
  <c r="DC1" i="12"/>
  <c r="DB15" i="12"/>
  <c r="DB27" i="12"/>
  <c r="DB40" i="12"/>
  <c r="AB10" i="9"/>
  <c r="AB21" i="9"/>
  <c r="AB19" i="9"/>
  <c r="AA13" i="9"/>
  <c r="AA52" i="9" s="1"/>
  <c r="Z13" i="9"/>
  <c r="Z52" i="9" s="1"/>
  <c r="AA16" i="9"/>
  <c r="AA18" i="9"/>
  <c r="AA27" i="9" s="1"/>
  <c r="AA31" i="9" s="1"/>
  <c r="AD12" i="9"/>
  <c r="AD20" i="9"/>
  <c r="I24" i="12" l="1"/>
  <c r="H12" i="12"/>
  <c r="Y37" i="9"/>
  <c r="Y38" i="9" s="1"/>
  <c r="J22" i="12"/>
  <c r="J25" i="12" s="1"/>
  <c r="J27" i="12" s="1"/>
  <c r="S37" i="9"/>
  <c r="S38" i="9" s="1"/>
  <c r="K51" i="9"/>
  <c r="H23" i="12"/>
  <c r="U37" i="9"/>
  <c r="U38" i="9" s="1"/>
  <c r="I6" i="12"/>
  <c r="I13" i="12" s="1"/>
  <c r="I15" i="12" s="1"/>
  <c r="I16" i="12" s="1"/>
  <c r="I28" i="12"/>
  <c r="N51" i="9"/>
  <c r="J37" i="12"/>
  <c r="J38" i="12"/>
  <c r="J40" i="12" s="1"/>
  <c r="I41" i="12"/>
  <c r="H14" i="12"/>
  <c r="I26" i="12"/>
  <c r="I39" i="12"/>
  <c r="K36" i="12"/>
  <c r="T51" i="9"/>
  <c r="T37" i="9"/>
  <c r="T38" i="9" s="1"/>
  <c r="H37" i="9"/>
  <c r="H38" i="9" s="1"/>
  <c r="H51" i="9"/>
  <c r="M37" i="9"/>
  <c r="M38" i="9" s="1"/>
  <c r="M51" i="9"/>
  <c r="R37" i="9"/>
  <c r="R38" i="9" s="1"/>
  <c r="R51" i="9"/>
  <c r="X37" i="9"/>
  <c r="X38" i="9" s="1"/>
  <c r="X51" i="9"/>
  <c r="G37" i="9"/>
  <c r="G38" i="9" s="1"/>
  <c r="G51" i="9"/>
  <c r="P37" i="9"/>
  <c r="P38" i="9" s="1"/>
  <c r="P51" i="9"/>
  <c r="Q51" i="9"/>
  <c r="Q37" i="9"/>
  <c r="Q38" i="9" s="1"/>
  <c r="I37" i="9"/>
  <c r="I38" i="9" s="1"/>
  <c r="I51" i="9"/>
  <c r="J51" i="9"/>
  <c r="J37" i="9"/>
  <c r="J38" i="9" s="1"/>
  <c r="W37" i="9"/>
  <c r="W38" i="9" s="1"/>
  <c r="W51" i="9"/>
  <c r="L37" i="9"/>
  <c r="L38" i="9" s="1"/>
  <c r="L51" i="9"/>
  <c r="V37" i="9"/>
  <c r="V38" i="9" s="1"/>
  <c r="V51" i="9"/>
  <c r="DD1" i="12"/>
  <c r="DC15" i="12"/>
  <c r="DC27" i="12"/>
  <c r="DC40" i="12"/>
  <c r="AE20" i="9"/>
  <c r="AE12" i="9"/>
  <c r="Z37" i="9"/>
  <c r="Z51" i="9"/>
  <c r="AB16" i="9"/>
  <c r="AB13" i="9"/>
  <c r="AB52" i="9" s="1"/>
  <c r="AA33" i="9"/>
  <c r="AA34" i="9" s="1"/>
  <c r="AC19" i="9"/>
  <c r="AC10" i="9"/>
  <c r="AC21" i="9"/>
  <c r="AB18" i="9"/>
  <c r="AB27" i="9" s="1"/>
  <c r="AB31" i="9" s="1"/>
  <c r="J6" i="12" l="1"/>
  <c r="J13" i="12" s="1"/>
  <c r="J15" i="12" s="1"/>
  <c r="J16" i="12" s="1"/>
  <c r="J28" i="12"/>
  <c r="K22" i="12"/>
  <c r="K25" i="12" s="1"/>
  <c r="K27" i="12" s="1"/>
  <c r="K28" i="12" s="1"/>
  <c r="J24" i="12"/>
  <c r="I23" i="12"/>
  <c r="I12" i="12"/>
  <c r="J41" i="12"/>
  <c r="K38" i="12"/>
  <c r="K40" i="12" s="1"/>
  <c r="K37" i="12"/>
  <c r="I14" i="12"/>
  <c r="J23" i="12"/>
  <c r="K6" i="12"/>
  <c r="K13" i="12" s="1"/>
  <c r="J12" i="12"/>
  <c r="J26" i="12"/>
  <c r="J39" i="12"/>
  <c r="L36" i="12"/>
  <c r="H62" i="9"/>
  <c r="G40" i="9"/>
  <c r="G46" i="9"/>
  <c r="DE1" i="12"/>
  <c r="DD15" i="12"/>
  <c r="DD27" i="12"/>
  <c r="DD40" i="12"/>
  <c r="AA37" i="9"/>
  <c r="AA38" i="9" s="1"/>
  <c r="AA51" i="9"/>
  <c r="AF12" i="9"/>
  <c r="AF20" i="9"/>
  <c r="AB33" i="9"/>
  <c r="AB34" i="9" s="1"/>
  <c r="AD10" i="9"/>
  <c r="AD21" i="9"/>
  <c r="AD19" i="9"/>
  <c r="AD18" i="9" s="1"/>
  <c r="AD27" i="9" s="1"/>
  <c r="AD31" i="9" s="1"/>
  <c r="AC13" i="9"/>
  <c r="AC52" i="9" s="1"/>
  <c r="AC16" i="9"/>
  <c r="Z38" i="9"/>
  <c r="H65" i="9"/>
  <c r="AC18" i="9"/>
  <c r="AC27" i="9" s="1"/>
  <c r="AC31" i="9" s="1"/>
  <c r="K24" i="12" l="1"/>
  <c r="L22" i="12"/>
  <c r="L25" i="12" s="1"/>
  <c r="L27" i="12" s="1"/>
  <c r="L28" i="12" s="1"/>
  <c r="K41" i="12"/>
  <c r="L37" i="12"/>
  <c r="L38" i="12"/>
  <c r="L40" i="12" s="1"/>
  <c r="J14" i="12"/>
  <c r="K26" i="12"/>
  <c r="M22" i="12"/>
  <c r="M25" i="12" s="1"/>
  <c r="K23" i="12"/>
  <c r="L6" i="12"/>
  <c r="L13" i="12" s="1"/>
  <c r="K12" i="12"/>
  <c r="K15" i="12"/>
  <c r="K16" i="12" s="1"/>
  <c r="K39" i="12"/>
  <c r="M36" i="12"/>
  <c r="G45" i="9"/>
  <c r="G48" i="9" s="1"/>
  <c r="H46" i="9"/>
  <c r="H40" i="9"/>
  <c r="DF1" i="12"/>
  <c r="DE15" i="12"/>
  <c r="DE27" i="12"/>
  <c r="DE40" i="12"/>
  <c r="AB37" i="9"/>
  <c r="AB38" i="9" s="1"/>
  <c r="AB51" i="9"/>
  <c r="AD16" i="9"/>
  <c r="AD13" i="9"/>
  <c r="AD52" i="9" s="1"/>
  <c r="AG20" i="9"/>
  <c r="AG12" i="9"/>
  <c r="AC33" i="9"/>
  <c r="AC34" i="9" s="1"/>
  <c r="AD33" i="9"/>
  <c r="AD34" i="9" s="1"/>
  <c r="AE19" i="9"/>
  <c r="AE10" i="9"/>
  <c r="AE21" i="9"/>
  <c r="L24" i="12" l="1"/>
  <c r="L41" i="12"/>
  <c r="AE18" i="9"/>
  <c r="AE27" i="9" s="1"/>
  <c r="AE31" i="9" s="1"/>
  <c r="AE33" i="9" s="1"/>
  <c r="AE34" i="9" s="1"/>
  <c r="M38" i="12"/>
  <c r="M40" i="12" s="1"/>
  <c r="M37" i="12"/>
  <c r="L23" i="12"/>
  <c r="M6" i="12"/>
  <c r="M13" i="12" s="1"/>
  <c r="L12" i="12"/>
  <c r="L15" i="12"/>
  <c r="L16" i="12" s="1"/>
  <c r="N22" i="12"/>
  <c r="N25" i="12" s="1"/>
  <c r="M24" i="12"/>
  <c r="M27" i="12"/>
  <c r="M28" i="12" s="1"/>
  <c r="K14" i="12"/>
  <c r="L26" i="12"/>
  <c r="M26" i="12" s="1"/>
  <c r="L39" i="12"/>
  <c r="N36" i="12"/>
  <c r="I40" i="9"/>
  <c r="H45" i="9"/>
  <c r="H48" i="9" s="1"/>
  <c r="I46" i="9"/>
  <c r="DG1" i="12"/>
  <c r="DF15" i="12"/>
  <c r="DF27" i="12"/>
  <c r="DF40" i="12"/>
  <c r="AD37" i="9"/>
  <c r="AD38" i="9" s="1"/>
  <c r="AD51" i="9"/>
  <c r="AC37" i="9"/>
  <c r="AC38" i="9" s="1"/>
  <c r="AC51" i="9"/>
  <c r="AF10" i="9"/>
  <c r="AF21" i="9"/>
  <c r="AF19" i="9"/>
  <c r="AE13" i="9"/>
  <c r="AE52" i="9" s="1"/>
  <c r="AE16" i="9"/>
  <c r="AH12" i="9"/>
  <c r="AH20" i="9"/>
  <c r="M41" i="12" l="1"/>
  <c r="AF18" i="9"/>
  <c r="AF27" i="9" s="1"/>
  <c r="AF31" i="9" s="1"/>
  <c r="AF33" i="9" s="1"/>
  <c r="AF34" i="9" s="1"/>
  <c r="N37" i="12"/>
  <c r="N38" i="12"/>
  <c r="N40" i="12" s="1"/>
  <c r="N41" i="12" s="1"/>
  <c r="L14" i="12"/>
  <c r="O22" i="12"/>
  <c r="O25" i="12" s="1"/>
  <c r="N27" i="12"/>
  <c r="N28" i="12" s="1"/>
  <c r="N24" i="12"/>
  <c r="M23" i="12"/>
  <c r="N6" i="12"/>
  <c r="N13" i="12" s="1"/>
  <c r="M15" i="12"/>
  <c r="M16" i="12" s="1"/>
  <c r="M12" i="12"/>
  <c r="M14" i="12"/>
  <c r="M39" i="12"/>
  <c r="O36" i="12"/>
  <c r="J46" i="9"/>
  <c r="J40" i="9"/>
  <c r="I45" i="9"/>
  <c r="I48" i="9" s="1"/>
  <c r="DH1" i="12"/>
  <c r="DG15" i="12"/>
  <c r="DG27" i="12"/>
  <c r="DG40" i="12"/>
  <c r="AF16" i="9"/>
  <c r="AF13" i="9"/>
  <c r="AF52" i="9" s="1"/>
  <c r="AG19" i="9"/>
  <c r="AG10" i="9"/>
  <c r="AG21" i="9"/>
  <c r="AI20" i="9"/>
  <c r="AI12" i="9"/>
  <c r="AE37" i="9"/>
  <c r="AE38" i="9" s="1"/>
  <c r="AE51" i="9"/>
  <c r="O38" i="12" l="1"/>
  <c r="O40" i="12" s="1"/>
  <c r="O41" i="12" s="1"/>
  <c r="O37" i="12"/>
  <c r="N26" i="12"/>
  <c r="O26" i="12" s="1"/>
  <c r="P22" i="12"/>
  <c r="P25" i="12" s="1"/>
  <c r="O27" i="12"/>
  <c r="O28" i="12" s="1"/>
  <c r="O24" i="12"/>
  <c r="O6" i="12"/>
  <c r="O13" i="12" s="1"/>
  <c r="N23" i="12"/>
  <c r="N12" i="12"/>
  <c r="N15" i="12"/>
  <c r="N16" i="12" s="1"/>
  <c r="P36" i="12"/>
  <c r="N39" i="12"/>
  <c r="J45" i="9"/>
  <c r="J48" i="9" s="1"/>
  <c r="K46" i="9"/>
  <c r="K40" i="9"/>
  <c r="DI1" i="12"/>
  <c r="DH15" i="12"/>
  <c r="DH27" i="12"/>
  <c r="DH40" i="12"/>
  <c r="AJ12" i="9"/>
  <c r="AJ20" i="9"/>
  <c r="AG13" i="9"/>
  <c r="AG52" i="9" s="1"/>
  <c r="AG16" i="9"/>
  <c r="AG18" i="9"/>
  <c r="AG27" i="9" s="1"/>
  <c r="AG31" i="9" s="1"/>
  <c r="AH10" i="9"/>
  <c r="AH21" i="9"/>
  <c r="AH19" i="9"/>
  <c r="AF37" i="9"/>
  <c r="AF38" i="9" s="1"/>
  <c r="AF51" i="9"/>
  <c r="P37" i="12" l="1"/>
  <c r="P38" i="12"/>
  <c r="P40" i="12" s="1"/>
  <c r="P41" i="12" s="1"/>
  <c r="P6" i="12"/>
  <c r="P13" i="12" s="1"/>
  <c r="O23" i="12"/>
  <c r="O12" i="12"/>
  <c r="O15" i="12"/>
  <c r="O16" i="12" s="1"/>
  <c r="Q22" i="12"/>
  <c r="Q25" i="12" s="1"/>
  <c r="P24" i="12"/>
  <c r="P27" i="12"/>
  <c r="P28" i="12" s="1"/>
  <c r="P26" i="12"/>
  <c r="N14" i="12"/>
  <c r="Q36" i="12"/>
  <c r="O39" i="12"/>
  <c r="L46" i="9"/>
  <c r="H58" i="9"/>
  <c r="L40" i="9"/>
  <c r="K45" i="9"/>
  <c r="K48" i="9" s="1"/>
  <c r="DJ1" i="12"/>
  <c r="DI15" i="12"/>
  <c r="DI27" i="12"/>
  <c r="DI40" i="12"/>
  <c r="AG33" i="9"/>
  <c r="AG34" i="9" s="1"/>
  <c r="AK20" i="9"/>
  <c r="AK12" i="9"/>
  <c r="AI19" i="9"/>
  <c r="AI10" i="9"/>
  <c r="AI21" i="9"/>
  <c r="AH16" i="9"/>
  <c r="AH13" i="9"/>
  <c r="AH52" i="9" s="1"/>
  <c r="AH18" i="9"/>
  <c r="AH27" i="9" s="1"/>
  <c r="AH31" i="9" s="1"/>
  <c r="Q38" i="12" l="1"/>
  <c r="Q40" i="12" s="1"/>
  <c r="Q41" i="12" s="1"/>
  <c r="Q37" i="12"/>
  <c r="O14" i="12"/>
  <c r="R22" i="12"/>
  <c r="R25" i="12" s="1"/>
  <c r="Q24" i="12"/>
  <c r="Q27" i="12"/>
  <c r="Q28" i="12" s="1"/>
  <c r="E5" i="14"/>
  <c r="P23" i="12"/>
  <c r="Q6" i="12"/>
  <c r="Q13" i="12" s="1"/>
  <c r="P12" i="12"/>
  <c r="P15" i="12"/>
  <c r="P16" i="12" s="1"/>
  <c r="Q26" i="12"/>
  <c r="P39" i="12"/>
  <c r="R36" i="12"/>
  <c r="M40" i="9"/>
  <c r="L45" i="9"/>
  <c r="L48" i="9" s="1"/>
  <c r="M46" i="9"/>
  <c r="DK1" i="12"/>
  <c r="DJ15" i="12"/>
  <c r="DJ27" i="12"/>
  <c r="DJ40" i="12"/>
  <c r="AI13" i="9"/>
  <c r="AI52" i="9" s="1"/>
  <c r="AI16" i="9"/>
  <c r="AJ10" i="9"/>
  <c r="AJ21" i="9"/>
  <c r="AJ19" i="9"/>
  <c r="AL12" i="9"/>
  <c r="AL20" i="9"/>
  <c r="AG37" i="9"/>
  <c r="AG38" i="9" s="1"/>
  <c r="AG51" i="9"/>
  <c r="AH33" i="9"/>
  <c r="AH34" i="9" s="1"/>
  <c r="AI18" i="9"/>
  <c r="AI27" i="9" s="1"/>
  <c r="AI31" i="9" s="1"/>
  <c r="R37" i="12" l="1"/>
  <c r="R38" i="12"/>
  <c r="R40" i="12" s="1"/>
  <c r="R41" i="12" s="1"/>
  <c r="R6" i="12"/>
  <c r="R13" i="12" s="1"/>
  <c r="Q23" i="12"/>
  <c r="Q12" i="12"/>
  <c r="Q15" i="12"/>
  <c r="Q16" i="12" s="1"/>
  <c r="E5" i="15"/>
  <c r="G5" i="14"/>
  <c r="D34" i="14" s="1"/>
  <c r="E34" i="14" s="1"/>
  <c r="S22" i="12"/>
  <c r="S25" i="12" s="1"/>
  <c r="R24" i="12"/>
  <c r="R27" i="12"/>
  <c r="R28" i="12" s="1"/>
  <c r="R26" i="12"/>
  <c r="P14" i="12"/>
  <c r="Q39" i="12"/>
  <c r="S36" i="12"/>
  <c r="N40" i="9"/>
  <c r="M45" i="9"/>
  <c r="M48" i="9" s="1"/>
  <c r="N46" i="9"/>
  <c r="DL1" i="12"/>
  <c r="DK15" i="12"/>
  <c r="DK27" i="12"/>
  <c r="DK40" i="12"/>
  <c r="AH37" i="9"/>
  <c r="AH38" i="9" s="1"/>
  <c r="AH51" i="9"/>
  <c r="AM20" i="9"/>
  <c r="AM12" i="9"/>
  <c r="AJ16" i="9"/>
  <c r="AJ13" i="9"/>
  <c r="AJ52" i="9" s="1"/>
  <c r="AI33" i="9"/>
  <c r="AI34" i="9" s="1"/>
  <c r="AK19" i="9"/>
  <c r="AK18" i="9" s="1"/>
  <c r="AK27" i="9" s="1"/>
  <c r="AK31" i="9" s="1"/>
  <c r="AK10" i="9"/>
  <c r="AK21" i="9"/>
  <c r="AJ18" i="9"/>
  <c r="AJ27" i="9" s="1"/>
  <c r="AJ31" i="9" s="1"/>
  <c r="S38" i="12" l="1"/>
  <c r="S40" i="12" s="1"/>
  <c r="S41" i="12" s="1"/>
  <c r="S37" i="12"/>
  <c r="R39" i="12"/>
  <c r="Q14" i="12"/>
  <c r="T22" i="12"/>
  <c r="T25" i="12" s="1"/>
  <c r="S24" i="12"/>
  <c r="S27" i="12"/>
  <c r="S28" i="12" s="1"/>
  <c r="S6" i="12"/>
  <c r="S13" i="12" s="1"/>
  <c r="R23" i="12"/>
  <c r="R12" i="12"/>
  <c r="R15" i="12"/>
  <c r="R16" i="12" s="1"/>
  <c r="T36" i="12"/>
  <c r="N45" i="9"/>
  <c r="N48" i="9" s="1"/>
  <c r="O46" i="9"/>
  <c r="O40" i="9"/>
  <c r="DM1" i="12"/>
  <c r="DL15" i="12"/>
  <c r="DL27" i="12"/>
  <c r="DL40" i="12"/>
  <c r="AI37" i="9"/>
  <c r="AI38" i="9" s="1"/>
  <c r="AI51" i="9"/>
  <c r="AJ33" i="9"/>
  <c r="AJ34" i="9" s="1"/>
  <c r="AL10" i="9"/>
  <c r="AL21" i="9"/>
  <c r="AL19" i="9"/>
  <c r="AL18" i="9" s="1"/>
  <c r="AL27" i="9" s="1"/>
  <c r="AL31" i="9" s="1"/>
  <c r="AN12" i="9"/>
  <c r="AN20" i="9"/>
  <c r="AK33" i="9"/>
  <c r="AK34" i="9" s="1"/>
  <c r="AK13" i="9"/>
  <c r="AK52" i="9" s="1"/>
  <c r="AK16" i="9"/>
  <c r="T37" i="12" l="1"/>
  <c r="T38" i="12"/>
  <c r="S26" i="12"/>
  <c r="U22" i="12"/>
  <c r="U25" i="12" s="1"/>
  <c r="T24" i="12"/>
  <c r="T27" i="12"/>
  <c r="T28" i="12" s="1"/>
  <c r="T6" i="12"/>
  <c r="T13" i="12" s="1"/>
  <c r="S23" i="12"/>
  <c r="S12" i="12"/>
  <c r="S15" i="12"/>
  <c r="S16" i="12" s="1"/>
  <c r="R14" i="12"/>
  <c r="S39" i="12"/>
  <c r="U36" i="12"/>
  <c r="T40" i="12"/>
  <c r="T41" i="12" s="1"/>
  <c r="P46" i="9"/>
  <c r="P40" i="9"/>
  <c r="O45" i="9"/>
  <c r="O48" i="9" s="1"/>
  <c r="DN1" i="12"/>
  <c r="DM15" i="12"/>
  <c r="DM27" i="12"/>
  <c r="DM40" i="12"/>
  <c r="AJ37" i="9"/>
  <c r="AJ38" i="9" s="1"/>
  <c r="AJ51" i="9"/>
  <c r="AL16" i="9"/>
  <c r="AL13" i="9"/>
  <c r="AL52" i="9" s="1"/>
  <c r="AL33" i="9"/>
  <c r="AL34" i="9" s="1"/>
  <c r="AM19" i="9"/>
  <c r="AM10" i="9"/>
  <c r="AM21" i="9"/>
  <c r="AO20" i="9"/>
  <c r="AO12" i="9"/>
  <c r="AK37" i="9"/>
  <c r="AK38" i="9" s="1"/>
  <c r="AK51" i="9"/>
  <c r="U38" i="12" l="1"/>
  <c r="U40" i="12" s="1"/>
  <c r="U41" i="12" s="1"/>
  <c r="U37" i="12"/>
  <c r="S14" i="12"/>
  <c r="U6" i="12"/>
  <c r="U13" i="12" s="1"/>
  <c r="T23" i="12"/>
  <c r="T15" i="12"/>
  <c r="T16" i="12" s="1"/>
  <c r="T12" i="12"/>
  <c r="V22" i="12"/>
  <c r="V25" i="12" s="1"/>
  <c r="U24" i="12"/>
  <c r="U27" i="12"/>
  <c r="U28" i="12" s="1"/>
  <c r="T26" i="12"/>
  <c r="T39" i="12"/>
  <c r="V36" i="12"/>
  <c r="Q40" i="9"/>
  <c r="H59" i="9"/>
  <c r="Q46" i="9"/>
  <c r="P45" i="9"/>
  <c r="P48" i="9" s="1"/>
  <c r="DO1" i="12"/>
  <c r="DN15" i="12"/>
  <c r="DN27" i="12"/>
  <c r="DN40" i="12"/>
  <c r="AN10" i="9"/>
  <c r="AN21" i="9"/>
  <c r="AN19" i="9"/>
  <c r="AL37" i="9"/>
  <c r="AL38" i="9" s="1"/>
  <c r="AL51" i="9"/>
  <c r="AP12" i="9"/>
  <c r="AP20" i="9"/>
  <c r="AM13" i="9"/>
  <c r="AM52" i="9" s="1"/>
  <c r="AM16" i="9"/>
  <c r="AM18" i="9"/>
  <c r="AM27" i="9" s="1"/>
  <c r="AM31" i="9" s="1"/>
  <c r="V37" i="12" l="1"/>
  <c r="V38" i="12"/>
  <c r="V40" i="12" s="1"/>
  <c r="V41" i="12" s="1"/>
  <c r="U26" i="12"/>
  <c r="T14" i="12"/>
  <c r="W22" i="12"/>
  <c r="W25" i="12" s="1"/>
  <c r="V24" i="12"/>
  <c r="V27" i="12"/>
  <c r="V28" i="12" s="1"/>
  <c r="V6" i="12"/>
  <c r="V13" i="12" s="1"/>
  <c r="U23" i="12"/>
  <c r="U12" i="12"/>
  <c r="U15" i="12"/>
  <c r="U16" i="12" s="1"/>
  <c r="U39" i="12"/>
  <c r="W36" i="12"/>
  <c r="R40" i="9"/>
  <c r="Q45" i="9"/>
  <c r="Q48" i="9" s="1"/>
  <c r="R46" i="9"/>
  <c r="DP1" i="12"/>
  <c r="DO15" i="12"/>
  <c r="DO27" i="12"/>
  <c r="DO40" i="12"/>
  <c r="AN16" i="9"/>
  <c r="AN13" i="9"/>
  <c r="AN52" i="9" s="1"/>
  <c r="AM33" i="9"/>
  <c r="AM34" i="9" s="1"/>
  <c r="AQ20" i="9"/>
  <c r="AQ12" i="9"/>
  <c r="AO19" i="9"/>
  <c r="AO10" i="9"/>
  <c r="AO21" i="9"/>
  <c r="AN18" i="9"/>
  <c r="AN27" i="9" s="1"/>
  <c r="AN31" i="9" s="1"/>
  <c r="W38" i="12" l="1"/>
  <c r="W40" i="12" s="1"/>
  <c r="W41" i="12" s="1"/>
  <c r="W37" i="12"/>
  <c r="U14" i="12"/>
  <c r="V26" i="12"/>
  <c r="X22" i="12"/>
  <c r="X25" i="12" s="1"/>
  <c r="W24" i="12"/>
  <c r="W27" i="12"/>
  <c r="W28" i="12" s="1"/>
  <c r="W6" i="12"/>
  <c r="W13" i="12" s="1"/>
  <c r="V23" i="12"/>
  <c r="V12" i="12"/>
  <c r="V15" i="12"/>
  <c r="V16" i="12" s="1"/>
  <c r="V39" i="12"/>
  <c r="X36" i="12"/>
  <c r="R45" i="9"/>
  <c r="R48" i="9" s="1"/>
  <c r="S46" i="9"/>
  <c r="S40" i="9"/>
  <c r="DQ1" i="12"/>
  <c r="DP15" i="12"/>
  <c r="DP27" i="12"/>
  <c r="DP40" i="12"/>
  <c r="AN33" i="9"/>
  <c r="AN34" i="9" s="1"/>
  <c r="AP10" i="9"/>
  <c r="AP21" i="9"/>
  <c r="AP19" i="9"/>
  <c r="AM37" i="9"/>
  <c r="AM38" i="9" s="1"/>
  <c r="AM51" i="9"/>
  <c r="AO13" i="9"/>
  <c r="AO52" i="9" s="1"/>
  <c r="AO16" i="9"/>
  <c r="AO18" i="9"/>
  <c r="AO27" i="9" s="1"/>
  <c r="AO31" i="9" s="1"/>
  <c r="AR12" i="9"/>
  <c r="AR20" i="9"/>
  <c r="AP18" i="9" l="1"/>
  <c r="AP27" i="9" s="1"/>
  <c r="AP31" i="9" s="1"/>
  <c r="X37" i="12"/>
  <c r="X38" i="12"/>
  <c r="W26" i="12"/>
  <c r="W23" i="12"/>
  <c r="X6" i="12"/>
  <c r="X13" i="12" s="1"/>
  <c r="W12" i="12"/>
  <c r="W15" i="12"/>
  <c r="W16" i="12" s="1"/>
  <c r="Y22" i="12"/>
  <c r="Y25" i="12" s="1"/>
  <c r="X24" i="12"/>
  <c r="X27" i="12"/>
  <c r="X28" i="12" s="1"/>
  <c r="V14" i="12"/>
  <c r="W14" i="12" s="1"/>
  <c r="W39" i="12"/>
  <c r="Y36" i="12"/>
  <c r="X40" i="12"/>
  <c r="X41" i="12" s="1"/>
  <c r="T40" i="9"/>
  <c r="S45" i="9"/>
  <c r="S48" i="9" s="1"/>
  <c r="T46" i="9"/>
  <c r="DR1" i="12"/>
  <c r="DQ15" i="12"/>
  <c r="DQ27" i="12"/>
  <c r="DQ40" i="12"/>
  <c r="AN37" i="9"/>
  <c r="AN38" i="9" s="1"/>
  <c r="AN51" i="9"/>
  <c r="AP33" i="9"/>
  <c r="AP34" i="9" s="1"/>
  <c r="AO33" i="9"/>
  <c r="AO34" i="9" s="1"/>
  <c r="AS20" i="9"/>
  <c r="AS12" i="9"/>
  <c r="AP16" i="9"/>
  <c r="AP13" i="9"/>
  <c r="AP52" i="9" s="1"/>
  <c r="AQ19" i="9"/>
  <c r="AQ10" i="9"/>
  <c r="AQ21" i="9"/>
  <c r="Y38" i="12" l="1"/>
  <c r="Y37" i="12"/>
  <c r="X26" i="12"/>
  <c r="Z22" i="12"/>
  <c r="Z25" i="12" s="1"/>
  <c r="Y24" i="12"/>
  <c r="Y27" i="12"/>
  <c r="Y28" i="12" s="1"/>
  <c r="X23" i="12"/>
  <c r="Y6" i="12"/>
  <c r="Y13" i="12" s="1"/>
  <c r="X12" i="12"/>
  <c r="X15" i="12"/>
  <c r="X16" i="12" s="1"/>
  <c r="X39" i="12"/>
  <c r="Z36" i="12"/>
  <c r="Y40" i="12"/>
  <c r="Y41" i="12" s="1"/>
  <c r="U40" i="9"/>
  <c r="T45" i="9"/>
  <c r="T48" i="9" s="1"/>
  <c r="U46" i="9"/>
  <c r="DS1" i="12"/>
  <c r="DR15" i="12"/>
  <c r="DR27" i="12"/>
  <c r="DR40" i="12"/>
  <c r="AQ13" i="9"/>
  <c r="AQ52" i="9" s="1"/>
  <c r="AQ16" i="9"/>
  <c r="AP37" i="9"/>
  <c r="AP38" i="9" s="1"/>
  <c r="AP51" i="9"/>
  <c r="AR10" i="9"/>
  <c r="AR21" i="9"/>
  <c r="AR19" i="9"/>
  <c r="AR18" i="9" s="1"/>
  <c r="AR27" i="9" s="1"/>
  <c r="AR31" i="9" s="1"/>
  <c r="AT12" i="9"/>
  <c r="AT20" i="9"/>
  <c r="AQ18" i="9"/>
  <c r="AQ27" i="9" s="1"/>
  <c r="AQ31" i="9" s="1"/>
  <c r="AO37" i="9"/>
  <c r="AO38" i="9" s="1"/>
  <c r="AO51" i="9"/>
  <c r="Z37" i="12" l="1"/>
  <c r="Z38" i="12"/>
  <c r="Y26" i="12"/>
  <c r="AA22" i="12"/>
  <c r="AA25" i="12" s="1"/>
  <c r="Z24" i="12"/>
  <c r="Z27" i="12"/>
  <c r="Z28" i="12" s="1"/>
  <c r="Z6" i="12"/>
  <c r="Z13" i="12" s="1"/>
  <c r="Y23" i="12"/>
  <c r="Y12" i="12"/>
  <c r="Y15" i="12"/>
  <c r="Y16" i="12" s="1"/>
  <c r="X14" i="12"/>
  <c r="Y39" i="12"/>
  <c r="AA36" i="12"/>
  <c r="Z40" i="12"/>
  <c r="Z41" i="12" s="1"/>
  <c r="V40" i="9"/>
  <c r="U45" i="9"/>
  <c r="U48" i="9" s="1"/>
  <c r="V46" i="9"/>
  <c r="H60" i="9"/>
  <c r="DT1" i="12"/>
  <c r="DS15" i="12"/>
  <c r="DS27" i="12"/>
  <c r="DS40" i="12"/>
  <c r="AR33" i="9"/>
  <c r="AR34" i="9" s="1"/>
  <c r="AR16" i="9"/>
  <c r="AR13" i="9"/>
  <c r="AR52" i="9" s="1"/>
  <c r="AQ33" i="9"/>
  <c r="AQ34" i="9" s="1"/>
  <c r="AU20" i="9"/>
  <c r="AU12" i="9"/>
  <c r="AS19" i="9"/>
  <c r="AS10" i="9"/>
  <c r="AS21" i="9"/>
  <c r="AS18" i="9" l="1"/>
  <c r="AS27" i="9" s="1"/>
  <c r="AS31" i="9" s="1"/>
  <c r="AA38" i="12"/>
  <c r="AA37" i="12"/>
  <c r="Y14" i="12"/>
  <c r="Z14" i="12" s="1"/>
  <c r="Z26" i="12"/>
  <c r="Z12" i="12"/>
  <c r="Z23" i="12"/>
  <c r="AA6" i="12"/>
  <c r="AA13" i="12" s="1"/>
  <c r="Z15" i="12"/>
  <c r="Z16" i="12" s="1"/>
  <c r="AB22" i="12"/>
  <c r="AB25" i="12" s="1"/>
  <c r="AA24" i="12"/>
  <c r="AA27" i="12"/>
  <c r="AA28" i="12" s="1"/>
  <c r="Z39" i="12"/>
  <c r="AA40" i="12"/>
  <c r="AA41" i="12" s="1"/>
  <c r="AB36" i="12"/>
  <c r="W40" i="9"/>
  <c r="V45" i="9"/>
  <c r="V48" i="9" s="1"/>
  <c r="W46" i="9"/>
  <c r="DU1" i="12"/>
  <c r="DT15" i="12"/>
  <c r="DT27" i="12"/>
  <c r="DT40" i="12"/>
  <c r="AV12" i="9"/>
  <c r="AV20" i="9"/>
  <c r="AQ37" i="9"/>
  <c r="AQ38" i="9" s="1"/>
  <c r="AQ51" i="9"/>
  <c r="AR37" i="9"/>
  <c r="AR38" i="9" s="1"/>
  <c r="AR51" i="9"/>
  <c r="AT10" i="9"/>
  <c r="AT21" i="9"/>
  <c r="AT19" i="9"/>
  <c r="AS13" i="9"/>
  <c r="AS52" i="9" s="1"/>
  <c r="AS16" i="9"/>
  <c r="AS33" i="9"/>
  <c r="AS34" i="9" s="1"/>
  <c r="AT18" i="9" l="1"/>
  <c r="AT27" i="9" s="1"/>
  <c r="AT31" i="9" s="1"/>
  <c r="AB37" i="12"/>
  <c r="AB38" i="12"/>
  <c r="AB40" i="12" s="1"/>
  <c r="AB41" i="12" s="1"/>
  <c r="AA26" i="12"/>
  <c r="AB24" i="12"/>
  <c r="AC22" i="12"/>
  <c r="AC25" i="12" s="1"/>
  <c r="AB27" i="12"/>
  <c r="AB28" i="12" s="1"/>
  <c r="AA12" i="12"/>
  <c r="AA15" i="12"/>
  <c r="AA16" i="12" s="1"/>
  <c r="AB6" i="12"/>
  <c r="AB13" i="12" s="1"/>
  <c r="AA23" i="12"/>
  <c r="AC36" i="12"/>
  <c r="AA39" i="12"/>
  <c r="X46" i="9"/>
  <c r="X40" i="9"/>
  <c r="W45" i="9"/>
  <c r="W48" i="9" s="1"/>
  <c r="DV1" i="12"/>
  <c r="DU15" i="12"/>
  <c r="DU27" i="12"/>
  <c r="DU40" i="12"/>
  <c r="AS37" i="9"/>
  <c r="AS38" i="9" s="1"/>
  <c r="AS51" i="9"/>
  <c r="AT33" i="9"/>
  <c r="AT34" i="9" s="1"/>
  <c r="AU19" i="9"/>
  <c r="AU10" i="9"/>
  <c r="AU21" i="9"/>
  <c r="AW20" i="9"/>
  <c r="AW12" i="9"/>
  <c r="AT16" i="9"/>
  <c r="AT13" i="9"/>
  <c r="AT52" i="9" s="1"/>
  <c r="AC38" i="12" l="1"/>
  <c r="AC40" i="12" s="1"/>
  <c r="AC41" i="12" s="1"/>
  <c r="AC37" i="12"/>
  <c r="AA14" i="12"/>
  <c r="AB26" i="12"/>
  <c r="E8" i="14"/>
  <c r="AB15" i="12"/>
  <c r="AB16" i="12" s="1"/>
  <c r="AB23" i="12"/>
  <c r="AC6" i="12"/>
  <c r="AC13" i="12" s="1"/>
  <c r="AB12" i="12"/>
  <c r="AD22" i="12"/>
  <c r="AD25" i="12" s="1"/>
  <c r="AC27" i="12"/>
  <c r="AC28" i="12" s="1"/>
  <c r="AC24" i="12"/>
  <c r="AB39" i="12"/>
  <c r="AD36" i="12"/>
  <c r="Y40" i="9"/>
  <c r="Y46" i="9"/>
  <c r="X45" i="9"/>
  <c r="X48" i="9" s="1"/>
  <c r="DW1" i="12"/>
  <c r="DV15" i="12"/>
  <c r="DV27" i="12"/>
  <c r="DV40" i="12"/>
  <c r="AT37" i="9"/>
  <c r="AT38" i="9" s="1"/>
  <c r="AT51" i="9"/>
  <c r="AX12" i="9"/>
  <c r="AX20" i="9"/>
  <c r="AU18" i="9"/>
  <c r="AU27" i="9" s="1"/>
  <c r="AU31" i="9" s="1"/>
  <c r="AU13" i="9"/>
  <c r="AU52" i="9" s="1"/>
  <c r="AU16" i="9"/>
  <c r="AV10" i="9"/>
  <c r="AV21" i="9"/>
  <c r="AV19" i="9"/>
  <c r="AV18" i="9" s="1"/>
  <c r="AV27" i="9" s="1"/>
  <c r="AV31" i="9" s="1"/>
  <c r="AD37" i="12" l="1"/>
  <c r="AD38" i="12"/>
  <c r="AD40" i="12" s="1"/>
  <c r="AD41" i="12" s="1"/>
  <c r="AC26" i="12"/>
  <c r="AD26" i="12" s="1"/>
  <c r="AE22" i="12"/>
  <c r="AE25" i="12" s="1"/>
  <c r="AD24" i="12"/>
  <c r="AD6" i="12"/>
  <c r="AD13" i="12" s="1"/>
  <c r="AC12" i="12"/>
  <c r="AC15" i="12"/>
  <c r="AC16" i="12" s="1"/>
  <c r="AC23" i="12"/>
  <c r="AB14" i="12"/>
  <c r="E8" i="15"/>
  <c r="G8" i="14"/>
  <c r="D35" i="14" s="1"/>
  <c r="E35" i="14" s="1"/>
  <c r="AC39" i="12"/>
  <c r="AE36" i="12"/>
  <c r="Z46" i="9"/>
  <c r="Z40" i="9"/>
  <c r="Y45" i="9"/>
  <c r="Y48" i="9" s="1"/>
  <c r="DX1" i="12"/>
  <c r="DW15" i="12"/>
  <c r="DW27" i="12"/>
  <c r="DW40" i="12"/>
  <c r="AV33" i="9"/>
  <c r="AV34" i="9" s="1"/>
  <c r="AW19" i="9"/>
  <c r="AW10" i="9"/>
  <c r="AW21" i="9"/>
  <c r="AV16" i="9"/>
  <c r="AV13" i="9"/>
  <c r="AV52" i="9" s="1"/>
  <c r="AU33" i="9"/>
  <c r="AU34" i="9" s="1"/>
  <c r="AY20" i="9"/>
  <c r="AY12" i="9"/>
  <c r="AE38" i="12" l="1"/>
  <c r="AE37" i="12"/>
  <c r="AD39" i="12"/>
  <c r="AC14" i="12"/>
  <c r="AF22" i="12"/>
  <c r="AF25" i="12" s="1"/>
  <c r="AE27" i="12"/>
  <c r="AE24" i="12"/>
  <c r="AD15" i="12"/>
  <c r="AD16" i="12" s="1"/>
  <c r="AE6" i="12"/>
  <c r="AE13" i="12" s="1"/>
  <c r="AD12" i="12"/>
  <c r="AD23" i="12"/>
  <c r="AD27" i="12"/>
  <c r="AD28" i="12" s="1"/>
  <c r="AF36" i="12"/>
  <c r="AE40" i="12"/>
  <c r="AE41" i="12" s="1"/>
  <c r="Z45" i="9"/>
  <c r="Z48" i="9" s="1"/>
  <c r="AA46" i="9"/>
  <c r="AA40" i="9"/>
  <c r="H61" i="9"/>
  <c r="DY1" i="12"/>
  <c r="DX15" i="12"/>
  <c r="DX27" i="12"/>
  <c r="DX40" i="12"/>
  <c r="AV37" i="9"/>
  <c r="AV38" i="9" s="1"/>
  <c r="AV51" i="9"/>
  <c r="AZ12" i="9"/>
  <c r="AZ20" i="9"/>
  <c r="AW13" i="9"/>
  <c r="AW52" i="9" s="1"/>
  <c r="AW16" i="9"/>
  <c r="AX10" i="9"/>
  <c r="AX21" i="9"/>
  <c r="AX19" i="9"/>
  <c r="AU37" i="9"/>
  <c r="AU38" i="9" s="1"/>
  <c r="AU51" i="9"/>
  <c r="AW18" i="9"/>
  <c r="AW27" i="9" s="1"/>
  <c r="AW31" i="9" s="1"/>
  <c r="AF37" i="12" l="1"/>
  <c r="AF38" i="12"/>
  <c r="AE26" i="12"/>
  <c r="AD14" i="12"/>
  <c r="AE28" i="12"/>
  <c r="AE12" i="12"/>
  <c r="AF6" i="12"/>
  <c r="AF13" i="12" s="1"/>
  <c r="AE23" i="12"/>
  <c r="AG22" i="12"/>
  <c r="AG25" i="12" s="1"/>
  <c r="AF24" i="12"/>
  <c r="AE39" i="12"/>
  <c r="AG36" i="12"/>
  <c r="AB40" i="9"/>
  <c r="AA45" i="9"/>
  <c r="AA48" i="9" s="1"/>
  <c r="AB46" i="9"/>
  <c r="DZ1" i="12"/>
  <c r="DY15" i="12"/>
  <c r="DY27" i="12"/>
  <c r="DY40" i="12"/>
  <c r="AW33" i="9"/>
  <c r="AW34" i="9" s="1"/>
  <c r="AY19" i="9"/>
  <c r="AY10" i="9"/>
  <c r="AY21" i="9"/>
  <c r="BA20" i="9"/>
  <c r="BA12" i="9"/>
  <c r="AX18" i="9"/>
  <c r="AX27" i="9" s="1"/>
  <c r="AX31" i="9" s="1"/>
  <c r="AX16" i="9"/>
  <c r="AX13" i="9"/>
  <c r="AX52" i="9" s="1"/>
  <c r="AG38" i="12" l="1"/>
  <c r="AG40" i="12" s="1"/>
  <c r="AG37" i="12"/>
  <c r="AF39" i="12"/>
  <c r="AE14" i="12"/>
  <c r="AF27" i="12"/>
  <c r="AF28" i="12" s="1"/>
  <c r="AE15" i="12"/>
  <c r="AE16" i="12" s="1"/>
  <c r="AF26" i="12"/>
  <c r="AH22" i="12"/>
  <c r="AH25" i="12" s="1"/>
  <c r="AG27" i="12"/>
  <c r="AG24" i="12"/>
  <c r="AG6" i="12"/>
  <c r="AG13" i="12" s="1"/>
  <c r="AF12" i="12"/>
  <c r="AF15" i="12"/>
  <c r="AF23" i="12"/>
  <c r="AH36" i="12"/>
  <c r="AF40" i="12"/>
  <c r="AF41" i="12" s="1"/>
  <c r="AB45" i="9"/>
  <c r="AB48" i="9" s="1"/>
  <c r="AC46" i="9"/>
  <c r="AC40" i="9"/>
  <c r="EA1" i="12"/>
  <c r="DZ15" i="12"/>
  <c r="DZ27" i="12"/>
  <c r="DZ40" i="12"/>
  <c r="AW37" i="9"/>
  <c r="AW38" i="9" s="1"/>
  <c r="AW51" i="9"/>
  <c r="AY18" i="9"/>
  <c r="AY27" i="9" s="1"/>
  <c r="AY31" i="9" s="1"/>
  <c r="BB12" i="9"/>
  <c r="BB20" i="9"/>
  <c r="AY13" i="9"/>
  <c r="AY52" i="9" s="1"/>
  <c r="AY16" i="9"/>
  <c r="AX33" i="9"/>
  <c r="AX34" i="9" s="1"/>
  <c r="AZ10" i="9"/>
  <c r="AZ21" i="9"/>
  <c r="AZ19" i="9"/>
  <c r="AH37" i="12" l="1"/>
  <c r="AH38" i="12"/>
  <c r="AF14" i="12"/>
  <c r="AG39" i="12"/>
  <c r="AH6" i="12"/>
  <c r="AH13" i="12" s="1"/>
  <c r="AG12" i="12"/>
  <c r="AG15" i="12"/>
  <c r="AG23" i="12"/>
  <c r="AG26" i="12"/>
  <c r="AG28" i="12"/>
  <c r="AI22" i="12"/>
  <c r="AI25" i="12" s="1"/>
  <c r="AH27" i="12"/>
  <c r="AH24" i="12"/>
  <c r="AF16" i="12"/>
  <c r="AI36" i="12"/>
  <c r="AG41" i="12"/>
  <c r="AD40" i="9"/>
  <c r="AC45" i="9"/>
  <c r="AC48" i="9" s="1"/>
  <c r="AD46" i="9"/>
  <c r="EB1" i="12"/>
  <c r="EA15" i="12"/>
  <c r="EA27" i="12"/>
  <c r="EA40" i="12"/>
  <c r="BC20" i="9"/>
  <c r="BC12" i="9"/>
  <c r="BA19" i="9"/>
  <c r="BA10" i="9"/>
  <c r="BA21" i="9"/>
  <c r="AZ16" i="9"/>
  <c r="AZ13" i="9"/>
  <c r="AZ52" i="9" s="1"/>
  <c r="AY33" i="9"/>
  <c r="AY34" i="9" s="1"/>
  <c r="AZ18" i="9"/>
  <c r="AZ27" i="9" s="1"/>
  <c r="AZ31" i="9" s="1"/>
  <c r="AX37" i="9"/>
  <c r="AX38" i="9" s="1"/>
  <c r="AX51" i="9"/>
  <c r="AI38" i="12" l="1"/>
  <c r="AI40" i="12" s="1"/>
  <c r="AI37" i="12"/>
  <c r="AH39" i="12"/>
  <c r="AG16" i="12"/>
  <c r="AJ22" i="12"/>
  <c r="AJ25" i="12" s="1"/>
  <c r="AI24" i="12"/>
  <c r="AI6" i="12"/>
  <c r="AI13" i="12" s="1"/>
  <c r="AH23" i="12"/>
  <c r="AH12" i="12"/>
  <c r="AH26" i="12"/>
  <c r="AH28" i="12"/>
  <c r="AG14" i="12"/>
  <c r="AH40" i="12"/>
  <c r="AH41" i="12" s="1"/>
  <c r="AJ36" i="12"/>
  <c r="AD45" i="9"/>
  <c r="AD48" i="9" s="1"/>
  <c r="AE46" i="9"/>
  <c r="AE40" i="9"/>
  <c r="EC1" i="12"/>
  <c r="EB15" i="12"/>
  <c r="EB27" i="12"/>
  <c r="EB40" i="12"/>
  <c r="AY37" i="9"/>
  <c r="AY38" i="9" s="1"/>
  <c r="AY51" i="9"/>
  <c r="BA13" i="9"/>
  <c r="BA52" i="9" s="1"/>
  <c r="BA16" i="9"/>
  <c r="BB10" i="9"/>
  <c r="BB21" i="9"/>
  <c r="BB19" i="9"/>
  <c r="BA18" i="9"/>
  <c r="BA27" i="9" s="1"/>
  <c r="BA31" i="9" s="1"/>
  <c r="AZ33" i="9"/>
  <c r="AZ34" i="9" s="1"/>
  <c r="BD12" i="9"/>
  <c r="BD20" i="9"/>
  <c r="BB18" i="9" l="1"/>
  <c r="BB27" i="9" s="1"/>
  <c r="BB31" i="9" s="1"/>
  <c r="AJ37" i="12"/>
  <c r="AJ38" i="12"/>
  <c r="AI26" i="12"/>
  <c r="AJ26" i="12" s="1"/>
  <c r="AI41" i="12"/>
  <c r="AH14" i="12"/>
  <c r="AH15" i="12"/>
  <c r="AH16" i="12" s="1"/>
  <c r="AK22" i="12"/>
  <c r="AK25" i="12" s="1"/>
  <c r="AJ27" i="12"/>
  <c r="AJ24" i="12"/>
  <c r="AI12" i="12"/>
  <c r="AI15" i="12"/>
  <c r="AJ6" i="12"/>
  <c r="AJ13" i="12" s="1"/>
  <c r="AI23" i="12"/>
  <c r="AI27" i="12"/>
  <c r="AI28" i="12" s="1"/>
  <c r="AI39" i="12"/>
  <c r="AK36" i="12"/>
  <c r="AF46" i="9"/>
  <c r="AF40" i="9"/>
  <c r="AE45" i="9"/>
  <c r="AE48" i="9" s="1"/>
  <c r="ED1" i="12"/>
  <c r="EC15" i="12"/>
  <c r="EC27" i="12"/>
  <c r="EC40" i="12"/>
  <c r="AZ37" i="9"/>
  <c r="AZ38" i="9" s="1"/>
  <c r="AZ51" i="9"/>
  <c r="BB33" i="9"/>
  <c r="BB34" i="9" s="1"/>
  <c r="BC19" i="9"/>
  <c r="BC10" i="9"/>
  <c r="BC21" i="9"/>
  <c r="BA33" i="9"/>
  <c r="BA34" i="9" s="1"/>
  <c r="BB16" i="9"/>
  <c r="BB13" i="9"/>
  <c r="BB52" i="9" s="1"/>
  <c r="BE20" i="9"/>
  <c r="BE12" i="9"/>
  <c r="AK38" i="12" l="1"/>
  <c r="AK37" i="12"/>
  <c r="AJ28" i="12"/>
  <c r="AI14" i="12"/>
  <c r="AK6" i="12"/>
  <c r="AK13" i="12" s="1"/>
  <c r="AJ12" i="12"/>
  <c r="AJ15" i="12"/>
  <c r="AJ23" i="12"/>
  <c r="AI16" i="12"/>
  <c r="AL22" i="12"/>
  <c r="AL25" i="12" s="1"/>
  <c r="AK26" i="12"/>
  <c r="AK24" i="12"/>
  <c r="AJ39" i="12"/>
  <c r="AJ40" i="12"/>
  <c r="AJ41" i="12" s="1"/>
  <c r="AL36" i="12"/>
  <c r="AG40" i="9"/>
  <c r="AG46" i="9"/>
  <c r="AF45" i="9"/>
  <c r="AF48" i="9" s="1"/>
  <c r="EE1" i="12"/>
  <c r="ED15" i="12"/>
  <c r="ED27" i="12"/>
  <c r="ED40" i="12"/>
  <c r="BA37" i="9"/>
  <c r="BA38" i="9" s="1"/>
  <c r="BA51" i="9"/>
  <c r="BF12" i="9"/>
  <c r="BF20" i="9"/>
  <c r="BC13" i="9"/>
  <c r="BC52" i="9" s="1"/>
  <c r="BC16" i="9"/>
  <c r="BD10" i="9"/>
  <c r="BD21" i="9"/>
  <c r="BD19" i="9"/>
  <c r="BB37" i="9"/>
  <c r="BB38" i="9" s="1"/>
  <c r="BB51" i="9"/>
  <c r="BC18" i="9"/>
  <c r="BC27" i="9" s="1"/>
  <c r="BC31" i="9" s="1"/>
  <c r="AL37" i="12" l="1"/>
  <c r="AL38" i="12"/>
  <c r="AL40" i="12" s="1"/>
  <c r="AJ14" i="12"/>
  <c r="AJ16" i="12"/>
  <c r="AK27" i="12"/>
  <c r="AK28" i="12" s="1"/>
  <c r="AM22" i="12"/>
  <c r="AM25" i="12" s="1"/>
  <c r="AL27" i="12"/>
  <c r="AL24" i="12"/>
  <c r="AL6" i="12"/>
  <c r="AL13" i="12" s="1"/>
  <c r="AK23" i="12"/>
  <c r="AK12" i="12"/>
  <c r="AK15" i="12"/>
  <c r="AL26" i="12"/>
  <c r="AK39" i="12"/>
  <c r="AM36" i="12"/>
  <c r="AK40" i="12"/>
  <c r="AK41" i="12" s="1"/>
  <c r="AH46" i="9"/>
  <c r="AH40" i="9"/>
  <c r="AG45" i="9"/>
  <c r="AG48" i="9" s="1"/>
  <c r="EF1" i="12"/>
  <c r="EE15" i="12"/>
  <c r="EE27" i="12"/>
  <c r="EE40" i="12"/>
  <c r="BD16" i="9"/>
  <c r="BD13" i="9"/>
  <c r="BD52" i="9" s="1"/>
  <c r="BC33" i="9"/>
  <c r="BC34" i="9" s="1"/>
  <c r="BE19" i="9"/>
  <c r="BE10" i="9"/>
  <c r="BE21" i="9"/>
  <c r="BD18" i="9"/>
  <c r="BD27" i="9" s="1"/>
  <c r="BD31" i="9" s="1"/>
  <c r="AK16" i="12" l="1"/>
  <c r="AM38" i="12"/>
  <c r="AM37" i="12"/>
  <c r="AK14" i="12"/>
  <c r="AL28" i="12"/>
  <c r="AL12" i="12"/>
  <c r="AL15" i="12"/>
  <c r="AL16" i="12" s="1"/>
  <c r="AM6" i="12"/>
  <c r="AM13" i="12" s="1"/>
  <c r="AL23" i="12"/>
  <c r="AM24" i="12"/>
  <c r="AN22" i="12"/>
  <c r="AN25" i="12" s="1"/>
  <c r="AM27" i="12"/>
  <c r="AL39" i="12"/>
  <c r="AN36" i="12"/>
  <c r="AL41" i="12"/>
  <c r="AI40" i="9"/>
  <c r="AH45" i="9"/>
  <c r="AH48" i="9" s="1"/>
  <c r="AI46" i="9"/>
  <c r="EG1" i="12"/>
  <c r="EF15" i="12"/>
  <c r="EF27" i="12"/>
  <c r="EF40" i="12"/>
  <c r="BC37" i="9"/>
  <c r="BC38" i="9" s="1"/>
  <c r="BC51" i="9"/>
  <c r="BE13" i="9"/>
  <c r="BE52" i="9" s="1"/>
  <c r="BE16" i="9"/>
  <c r="BD33" i="9"/>
  <c r="BD34" i="9" s="1"/>
  <c r="BF10" i="9"/>
  <c r="BF21" i="9"/>
  <c r="BF19" i="9"/>
  <c r="BE18" i="9"/>
  <c r="BE27" i="9" s="1"/>
  <c r="BE31" i="9" s="1"/>
  <c r="BF18" i="9" l="1"/>
  <c r="BF27" i="9" s="1"/>
  <c r="BF31" i="9" s="1"/>
  <c r="BF33" i="9" s="1"/>
  <c r="BF34" i="9" s="1"/>
  <c r="AN37" i="12"/>
  <c r="AN38" i="12"/>
  <c r="AN40" i="12" s="1"/>
  <c r="AM28" i="12"/>
  <c r="AN24" i="12"/>
  <c r="AO22" i="12"/>
  <c r="AO25" i="12" s="1"/>
  <c r="AN27" i="12"/>
  <c r="AM15" i="12"/>
  <c r="AM16" i="12" s="1"/>
  <c r="AN6" i="12"/>
  <c r="AN13" i="12" s="1"/>
  <c r="AM23" i="12"/>
  <c r="AM12" i="12"/>
  <c r="AM26" i="12"/>
  <c r="AL14" i="12"/>
  <c r="AM39" i="12"/>
  <c r="AM40" i="12"/>
  <c r="AM41" i="12" s="1"/>
  <c r="AO36" i="12"/>
  <c r="AJ40" i="9"/>
  <c r="AI45" i="9"/>
  <c r="AI48" i="9" s="1"/>
  <c r="AJ46" i="9"/>
  <c r="EH1" i="12"/>
  <c r="EG15" i="12"/>
  <c r="EG27" i="12"/>
  <c r="EG40" i="12"/>
  <c r="BD37" i="9"/>
  <c r="BD38" i="9" s="1"/>
  <c r="BD51" i="9"/>
  <c r="BF16" i="9"/>
  <c r="BF13" i="9"/>
  <c r="BF52" i="9" s="1"/>
  <c r="BE33" i="9"/>
  <c r="BE34" i="9" s="1"/>
  <c r="AO38" i="12" l="1"/>
  <c r="AO40" i="12" s="1"/>
  <c r="AO37" i="12"/>
  <c r="AN28" i="12"/>
  <c r="AM14" i="12"/>
  <c r="E11" i="14"/>
  <c r="AN12" i="12"/>
  <c r="AN15" i="12"/>
  <c r="AN16" i="12" s="1"/>
  <c r="AN23" i="12"/>
  <c r="AO6" i="12"/>
  <c r="AO13" i="12" s="1"/>
  <c r="AO24" i="12"/>
  <c r="AP22" i="12"/>
  <c r="AP25" i="12" s="1"/>
  <c r="AO27" i="12"/>
  <c r="AN26" i="12"/>
  <c r="AN41" i="12"/>
  <c r="AP36" i="12"/>
  <c r="AN39" i="12"/>
  <c r="AK40" i="9"/>
  <c r="AJ45" i="9"/>
  <c r="AJ48" i="9" s="1"/>
  <c r="AK46" i="9"/>
  <c r="EI1" i="12"/>
  <c r="EH15" i="12"/>
  <c r="EH27" i="12"/>
  <c r="EH40" i="12"/>
  <c r="BE37" i="9"/>
  <c r="BE38" i="9" s="1"/>
  <c r="BE51" i="9"/>
  <c r="BF37" i="9"/>
  <c r="BF38" i="9" s="1"/>
  <c r="BF51" i="9"/>
  <c r="AP37" i="12" l="1"/>
  <c r="AP38" i="12"/>
  <c r="AO28" i="12"/>
  <c r="AN14" i="12"/>
  <c r="AQ22" i="12"/>
  <c r="AQ25" i="12" s="1"/>
  <c r="AP27" i="12"/>
  <c r="AP24" i="12"/>
  <c r="AO15" i="12"/>
  <c r="AO16" i="12" s="1"/>
  <c r="AP6" i="12"/>
  <c r="AP13" i="12" s="1"/>
  <c r="AO23" i="12"/>
  <c r="AO12" i="12"/>
  <c r="E11" i="15"/>
  <c r="G11" i="14"/>
  <c r="D36" i="14" s="1"/>
  <c r="E36" i="14" s="1"/>
  <c r="AO26" i="12"/>
  <c r="AP26" i="12" s="1"/>
  <c r="AO41" i="12"/>
  <c r="AO39" i="12"/>
  <c r="AQ36" i="12"/>
  <c r="AP40" i="12"/>
  <c r="AL46" i="9"/>
  <c r="AL40" i="9"/>
  <c r="AK45" i="9"/>
  <c r="AK48" i="9" s="1"/>
  <c r="EJ1" i="12"/>
  <c r="EI15" i="12"/>
  <c r="EI27" i="12"/>
  <c r="EI40" i="12"/>
  <c r="AQ38" i="12" l="1"/>
  <c r="AQ40" i="12" s="1"/>
  <c r="AQ37" i="12"/>
  <c r="AP28" i="12"/>
  <c r="AP41" i="12"/>
  <c r="AP12" i="12"/>
  <c r="AP23" i="12"/>
  <c r="AP15" i="12"/>
  <c r="AP16" i="12" s="1"/>
  <c r="AQ6" i="12"/>
  <c r="AQ13" i="12" s="1"/>
  <c r="AR22" i="12"/>
  <c r="AR25" i="12" s="1"/>
  <c r="AQ27" i="12"/>
  <c r="AQ24" i="12"/>
  <c r="AQ26" i="12"/>
  <c r="AO14" i="12"/>
  <c r="AP39" i="12"/>
  <c r="AR36" i="12"/>
  <c r="AL45" i="9"/>
  <c r="AL48" i="9" s="1"/>
  <c r="AM40" i="9"/>
  <c r="AM46" i="9"/>
  <c r="EK1" i="12"/>
  <c r="EJ15" i="12"/>
  <c r="EJ27" i="12"/>
  <c r="EJ40" i="12"/>
  <c r="AR37" i="12" l="1"/>
  <c r="AR38" i="12"/>
  <c r="AR40" i="12" s="1"/>
  <c r="AQ41" i="12"/>
  <c r="AQ28" i="12"/>
  <c r="AQ12" i="12"/>
  <c r="AQ15" i="12"/>
  <c r="AQ16" i="12" s="1"/>
  <c r="AQ23" i="12"/>
  <c r="AR6" i="12"/>
  <c r="AR13" i="12" s="1"/>
  <c r="AP14" i="12"/>
  <c r="AR24" i="12"/>
  <c r="AS22" i="12"/>
  <c r="AS25" i="12" s="1"/>
  <c r="AR27" i="12"/>
  <c r="AQ39" i="12"/>
  <c r="AS36" i="12"/>
  <c r="AN46" i="9"/>
  <c r="AN40" i="9"/>
  <c r="AM45" i="9"/>
  <c r="AM48" i="9" s="1"/>
  <c r="EL1" i="12"/>
  <c r="EK15" i="12"/>
  <c r="EK27" i="12"/>
  <c r="EK40" i="12"/>
  <c r="AR28" i="12" l="1"/>
  <c r="AR41" i="12"/>
  <c r="AS38" i="12"/>
  <c r="AS37" i="12"/>
  <c r="AQ14" i="12"/>
  <c r="AS24" i="12"/>
  <c r="AT22" i="12"/>
  <c r="AT25" i="12" s="1"/>
  <c r="AS27" i="12"/>
  <c r="AS28" i="12" s="1"/>
  <c r="AR26" i="12"/>
  <c r="AS6" i="12"/>
  <c r="AS13" i="12" s="1"/>
  <c r="AR12" i="12"/>
  <c r="AR15" i="12"/>
  <c r="AR16" i="12" s="1"/>
  <c r="AR23" i="12"/>
  <c r="AT36" i="12"/>
  <c r="AS40" i="12"/>
  <c r="AR39" i="12"/>
  <c r="AN45" i="9"/>
  <c r="AN48" i="9" s="1"/>
  <c r="AO46" i="9"/>
  <c r="AO40" i="9"/>
  <c r="EM1" i="12"/>
  <c r="EL15" i="12"/>
  <c r="EL27" i="12"/>
  <c r="EL40" i="12"/>
  <c r="AS41" i="12" l="1"/>
  <c r="AT37" i="12"/>
  <c r="AT38" i="12"/>
  <c r="AR14" i="12"/>
  <c r="AS26" i="12"/>
  <c r="AT24" i="12"/>
  <c r="AU22" i="12"/>
  <c r="AU25" i="12" s="1"/>
  <c r="AT27" i="12"/>
  <c r="AT28" i="12" s="1"/>
  <c r="AS15" i="12"/>
  <c r="AS16" i="12" s="1"/>
  <c r="AS23" i="12"/>
  <c r="AT6" i="12"/>
  <c r="AT13" i="12" s="1"/>
  <c r="AS12" i="12"/>
  <c r="AS39" i="12"/>
  <c r="AU36" i="12"/>
  <c r="AT40" i="12"/>
  <c r="AT41" i="12" s="1"/>
  <c r="AP40" i="9"/>
  <c r="AO45" i="9"/>
  <c r="AO48" i="9" s="1"/>
  <c r="AP46" i="9"/>
  <c r="EN1" i="12"/>
  <c r="EM15" i="12"/>
  <c r="EM27" i="12"/>
  <c r="EM40" i="12"/>
  <c r="AU38" i="12" l="1"/>
  <c r="AU37" i="12"/>
  <c r="AT26" i="12"/>
  <c r="AS14" i="12"/>
  <c r="AT12" i="12"/>
  <c r="AT15" i="12"/>
  <c r="AT16" i="12" s="1"/>
  <c r="AU6" i="12"/>
  <c r="AU13" i="12" s="1"/>
  <c r="AT23" i="12"/>
  <c r="AU24" i="12"/>
  <c r="AV22" i="12"/>
  <c r="AV25" i="12" s="1"/>
  <c r="AU27" i="12"/>
  <c r="AU28" i="12" s="1"/>
  <c r="AV36" i="12"/>
  <c r="AU40" i="12"/>
  <c r="AU41" i="12" s="1"/>
  <c r="AT39" i="12"/>
  <c r="AP45" i="9"/>
  <c r="AQ46" i="9"/>
  <c r="AQ40" i="9"/>
  <c r="EO1" i="12"/>
  <c r="EN15" i="12"/>
  <c r="EN27" i="12"/>
  <c r="EN40" i="12"/>
  <c r="AV37" i="12" l="1"/>
  <c r="AV38" i="12"/>
  <c r="AU26" i="12"/>
  <c r="AV24" i="12"/>
  <c r="AW22" i="12"/>
  <c r="AW25" i="12" s="1"/>
  <c r="AV27" i="12"/>
  <c r="AV28" i="12" s="1"/>
  <c r="AV6" i="12"/>
  <c r="AV13" i="12" s="1"/>
  <c r="AU23" i="12"/>
  <c r="AU12" i="12"/>
  <c r="AU15" i="12"/>
  <c r="AU16" i="12" s="1"/>
  <c r="AT14" i="12"/>
  <c r="AU39" i="12"/>
  <c r="AW36" i="12"/>
  <c r="AV40" i="12"/>
  <c r="AV41" i="12" s="1"/>
  <c r="AR40" i="9"/>
  <c r="AQ45" i="9"/>
  <c r="AQ48" i="9" s="1"/>
  <c r="AR46" i="9"/>
  <c r="AP48" i="9"/>
  <c r="EP1" i="12"/>
  <c r="EO15" i="12"/>
  <c r="EO27" i="12"/>
  <c r="EO40" i="12"/>
  <c r="AW38" i="12" l="1"/>
  <c r="AW40" i="12" s="1"/>
  <c r="AW41" i="12" s="1"/>
  <c r="AW37" i="12"/>
  <c r="AU14" i="12"/>
  <c r="AV26" i="12"/>
  <c r="AV12" i="12"/>
  <c r="AV15" i="12"/>
  <c r="AV16" i="12" s="1"/>
  <c r="AW6" i="12"/>
  <c r="AW13" i="12" s="1"/>
  <c r="AV23" i="12"/>
  <c r="AW24" i="12"/>
  <c r="AX22" i="12"/>
  <c r="AX25" i="12" s="1"/>
  <c r="AW27" i="12"/>
  <c r="AW28" i="12" s="1"/>
  <c r="AX36" i="12"/>
  <c r="AV39" i="12"/>
  <c r="AR45" i="9"/>
  <c r="AS46" i="9"/>
  <c r="AS40" i="9"/>
  <c r="EQ1" i="12"/>
  <c r="EP15" i="12"/>
  <c r="EP27" i="12"/>
  <c r="EP40" i="12"/>
  <c r="AX37" i="12" l="1"/>
  <c r="AX38" i="12"/>
  <c r="AV14" i="12"/>
  <c r="AW14" i="12" s="1"/>
  <c r="AX6" i="12"/>
  <c r="AX13" i="12" s="1"/>
  <c r="AW23" i="12"/>
  <c r="AW12" i="12"/>
  <c r="AW15" i="12"/>
  <c r="AW16" i="12" s="1"/>
  <c r="AX24" i="12"/>
  <c r="AY22" i="12"/>
  <c r="AY25" i="12" s="1"/>
  <c r="AX27" i="12"/>
  <c r="AX28" i="12" s="1"/>
  <c r="AW26" i="12"/>
  <c r="AW39" i="12"/>
  <c r="AY36" i="12"/>
  <c r="AX40" i="12"/>
  <c r="AX41" i="12" s="1"/>
  <c r="AT40" i="9"/>
  <c r="AS45" i="9"/>
  <c r="AS48" i="9" s="1"/>
  <c r="AT46" i="9"/>
  <c r="AR48" i="9"/>
  <c r="ER1" i="12"/>
  <c r="EQ15" i="12"/>
  <c r="EQ27" i="12"/>
  <c r="EQ40" i="12"/>
  <c r="AY38" i="12" l="1"/>
  <c r="AY40" i="12" s="1"/>
  <c r="AY41" i="12" s="1"/>
  <c r="AY37" i="12"/>
  <c r="AX26" i="12"/>
  <c r="AY24" i="12"/>
  <c r="AZ22" i="12"/>
  <c r="AZ25" i="12" s="1"/>
  <c r="AY27" i="12"/>
  <c r="AY28" i="12" s="1"/>
  <c r="AY6" i="12"/>
  <c r="AY13" i="12" s="1"/>
  <c r="AX23" i="12"/>
  <c r="AX12" i="12"/>
  <c r="AX15" i="12"/>
  <c r="AX16" i="12" s="1"/>
  <c r="AZ36" i="12"/>
  <c r="AX39" i="12"/>
  <c r="AU40" i="9"/>
  <c r="AT45" i="9"/>
  <c r="AU46" i="9"/>
  <c r="ES1" i="12"/>
  <c r="ER15" i="12"/>
  <c r="ER27" i="12"/>
  <c r="ER40" i="12"/>
  <c r="AZ37" i="12" l="1"/>
  <c r="AZ38" i="12"/>
  <c r="AZ40" i="12" s="1"/>
  <c r="AZ41" i="12" s="1"/>
  <c r="AY26" i="12"/>
  <c r="AX14" i="12"/>
  <c r="AY14" i="12" s="1"/>
  <c r="AY12" i="12"/>
  <c r="AY15" i="12"/>
  <c r="AY16" i="12" s="1"/>
  <c r="AZ6" i="12"/>
  <c r="AZ13" i="12" s="1"/>
  <c r="AY23" i="12"/>
  <c r="AZ24" i="12"/>
  <c r="BA22" i="12"/>
  <c r="BA25" i="12" s="1"/>
  <c r="AZ27" i="12"/>
  <c r="AZ28" i="12" s="1"/>
  <c r="AY39" i="12"/>
  <c r="BA36" i="12"/>
  <c r="AV40" i="9"/>
  <c r="AU45" i="9"/>
  <c r="AU48" i="9" s="1"/>
  <c r="AV46" i="9"/>
  <c r="AT48" i="9"/>
  <c r="ET1" i="12"/>
  <c r="ES15" i="12"/>
  <c r="ES27" i="12"/>
  <c r="ES40" i="12"/>
  <c r="BA38" i="12" l="1"/>
  <c r="BA40" i="12" s="1"/>
  <c r="BA41" i="12" s="1"/>
  <c r="BA37" i="12"/>
  <c r="AZ26" i="12"/>
  <c r="BA24" i="12"/>
  <c r="BB22" i="12"/>
  <c r="BB25" i="12" s="1"/>
  <c r="BA27" i="12"/>
  <c r="BA28" i="12" s="1"/>
  <c r="E14" i="14"/>
  <c r="AZ12" i="12"/>
  <c r="AZ15" i="12"/>
  <c r="AZ16" i="12" s="1"/>
  <c r="BA6" i="12"/>
  <c r="BA13" i="12" s="1"/>
  <c r="AZ23" i="12"/>
  <c r="BB36" i="12"/>
  <c r="AZ39" i="12"/>
  <c r="AV45" i="9"/>
  <c r="AW46" i="9"/>
  <c r="AW40" i="9"/>
  <c r="EU1" i="12"/>
  <c r="ET15" i="12"/>
  <c r="ET27" i="12"/>
  <c r="ET40" i="12"/>
  <c r="BB37" i="12" l="1"/>
  <c r="BB38" i="12"/>
  <c r="BB40" i="12" s="1"/>
  <c r="BB41" i="12" s="1"/>
  <c r="BA26" i="12"/>
  <c r="E14" i="15"/>
  <c r="G14" i="14"/>
  <c r="D37" i="14" s="1"/>
  <c r="E37" i="14" s="1"/>
  <c r="BC22" i="12"/>
  <c r="BC25" i="12" s="1"/>
  <c r="BB27" i="12"/>
  <c r="BB28" i="12" s="1"/>
  <c r="BB24" i="12"/>
  <c r="BA12" i="12"/>
  <c r="BA15" i="12"/>
  <c r="BA16" i="12" s="1"/>
  <c r="BB6" i="12"/>
  <c r="BB13" i="12" s="1"/>
  <c r="BA23" i="12"/>
  <c r="AZ14" i="12"/>
  <c r="BA39" i="12"/>
  <c r="BC36" i="12"/>
  <c r="AV48" i="9"/>
  <c r="AX46" i="9"/>
  <c r="AX40" i="9"/>
  <c r="AW45" i="9"/>
  <c r="AW48" i="9" s="1"/>
  <c r="EV1" i="12"/>
  <c r="EU15" i="12"/>
  <c r="EU27" i="12"/>
  <c r="EU40" i="12"/>
  <c r="BC38" i="12" l="1"/>
  <c r="BC40" i="12" s="1"/>
  <c r="BC41" i="12" s="1"/>
  <c r="BC37" i="12"/>
  <c r="BA14" i="12"/>
  <c r="BD22" i="12"/>
  <c r="BD25" i="12" s="1"/>
  <c r="BC27" i="12"/>
  <c r="BC28" i="12" s="1"/>
  <c r="BC24" i="12"/>
  <c r="BB26" i="12"/>
  <c r="BC26" i="12" s="1"/>
  <c r="BB15" i="12"/>
  <c r="BB16" i="12" s="1"/>
  <c r="BC6" i="12"/>
  <c r="BC13" i="12" s="1"/>
  <c r="BB12" i="12"/>
  <c r="BB23" i="12"/>
  <c r="BD36" i="12"/>
  <c r="BB39" i="12"/>
  <c r="AX45" i="9"/>
  <c r="AX48" i="9" s="1"/>
  <c r="AY46" i="9"/>
  <c r="AY40" i="9"/>
  <c r="EW1" i="12"/>
  <c r="EV15" i="12"/>
  <c r="EV27" i="12"/>
  <c r="EV40" i="12"/>
  <c r="BC39" i="12" l="1"/>
  <c r="BD37" i="12"/>
  <c r="BD38" i="12"/>
  <c r="BD40" i="12" s="1"/>
  <c r="BD41" i="12" s="1"/>
  <c r="BD24" i="12"/>
  <c r="BE22" i="12"/>
  <c r="BE25" i="12" s="1"/>
  <c r="BD27" i="12"/>
  <c r="BD28" i="12" s="1"/>
  <c r="BB14" i="12"/>
  <c r="BC15" i="12"/>
  <c r="BC16" i="12" s="1"/>
  <c r="BD6" i="12"/>
  <c r="BD13" i="12" s="1"/>
  <c r="BC23" i="12"/>
  <c r="BC12" i="12"/>
  <c r="BE36" i="12"/>
  <c r="AZ40" i="9"/>
  <c r="AY45" i="9"/>
  <c r="AY48" i="9" s="1"/>
  <c r="AZ46" i="9"/>
  <c r="EX1" i="12"/>
  <c r="EW15" i="12"/>
  <c r="EW27" i="12"/>
  <c r="EW40" i="12"/>
  <c r="BE38" i="12" l="1"/>
  <c r="BE37" i="12"/>
  <c r="BD26" i="12"/>
  <c r="BE27" i="12"/>
  <c r="BE28" i="12" s="1"/>
  <c r="BE24" i="12"/>
  <c r="BF22" i="12"/>
  <c r="BF25" i="12" s="1"/>
  <c r="BD12" i="12"/>
  <c r="BD15" i="12"/>
  <c r="BD16" i="12" s="1"/>
  <c r="BE6" i="12"/>
  <c r="BE13" i="12" s="1"/>
  <c r="BD23" i="12"/>
  <c r="BC14" i="12"/>
  <c r="BD39" i="12"/>
  <c r="BF36" i="12"/>
  <c r="BE40" i="12"/>
  <c r="BE41" i="12" s="1"/>
  <c r="BA40" i="9"/>
  <c r="AZ45" i="9"/>
  <c r="AZ48" i="9" s="1"/>
  <c r="BA46" i="9"/>
  <c r="EY1" i="12"/>
  <c r="EX15" i="12"/>
  <c r="EX27" i="12"/>
  <c r="EX40" i="12"/>
  <c r="BF37" i="12" l="1"/>
  <c r="BF38" i="12"/>
  <c r="BD14" i="12"/>
  <c r="BF24" i="12"/>
  <c r="BG22" i="12"/>
  <c r="BG25" i="12" s="1"/>
  <c r="BF27" i="12"/>
  <c r="BF28" i="12" s="1"/>
  <c r="BF6" i="12"/>
  <c r="BF13" i="12" s="1"/>
  <c r="BE12" i="12"/>
  <c r="BE15" i="12"/>
  <c r="BE16" i="12" s="1"/>
  <c r="BE23" i="12"/>
  <c r="BE26" i="12"/>
  <c r="BE39" i="12"/>
  <c r="BG36" i="12"/>
  <c r="BF40" i="12"/>
  <c r="BF41" i="12" s="1"/>
  <c r="BB40" i="9"/>
  <c r="BA45" i="9"/>
  <c r="BA48" i="9" s="1"/>
  <c r="BB46" i="9"/>
  <c r="EZ1" i="12"/>
  <c r="EY15" i="12"/>
  <c r="EY27" i="12"/>
  <c r="EY40" i="12"/>
  <c r="BG38" i="12" l="1"/>
  <c r="BG37" i="12"/>
  <c r="BE14" i="12"/>
  <c r="BF12" i="12"/>
  <c r="BF23" i="12"/>
  <c r="BF15" i="12"/>
  <c r="BF16" i="12" s="1"/>
  <c r="BG6" i="12"/>
  <c r="BG13" i="12" s="1"/>
  <c r="BG24" i="12"/>
  <c r="BH22" i="12"/>
  <c r="BH25" i="12" s="1"/>
  <c r="BG27" i="12"/>
  <c r="BG28" i="12" s="1"/>
  <c r="BF26" i="12"/>
  <c r="BF39" i="12"/>
  <c r="BH36" i="12"/>
  <c r="BG40" i="12"/>
  <c r="BG41" i="12" s="1"/>
  <c r="BC40" i="9"/>
  <c r="BB45" i="9"/>
  <c r="BB48" i="9" s="1"/>
  <c r="BC46" i="9"/>
  <c r="FA1" i="12"/>
  <c r="EZ15" i="12"/>
  <c r="EZ27" i="12"/>
  <c r="EZ40" i="12"/>
  <c r="BH37" i="12" l="1"/>
  <c r="BH38" i="12"/>
  <c r="BH40" i="12" s="1"/>
  <c r="BH41" i="12" s="1"/>
  <c r="BF14" i="12"/>
  <c r="BG26" i="12"/>
  <c r="BH6" i="12"/>
  <c r="BH13" i="12" s="1"/>
  <c r="BG12" i="12"/>
  <c r="BG15" i="12"/>
  <c r="BG16" i="12" s="1"/>
  <c r="BG23" i="12"/>
  <c r="BH24" i="12"/>
  <c r="BI22" i="12"/>
  <c r="BI25" i="12" s="1"/>
  <c r="BH27" i="12"/>
  <c r="BH28" i="12" s="1"/>
  <c r="BG39" i="12"/>
  <c r="BI36" i="12"/>
  <c r="BD46" i="9"/>
  <c r="BD40" i="9"/>
  <c r="BC45" i="9"/>
  <c r="BC48" i="9" s="1"/>
  <c r="FB1" i="12"/>
  <c r="FA15" i="12"/>
  <c r="FA27" i="12"/>
  <c r="FA40" i="12"/>
  <c r="BI38" i="12" l="1"/>
  <c r="BI40" i="12" s="1"/>
  <c r="BI41" i="12" s="1"/>
  <c r="BI37" i="12"/>
  <c r="BG14" i="12"/>
  <c r="BH14" i="12" s="1"/>
  <c r="BH26" i="12"/>
  <c r="BI24" i="12"/>
  <c r="BJ22" i="12"/>
  <c r="BJ25" i="12" s="1"/>
  <c r="BI27" i="12"/>
  <c r="BI28" i="12" s="1"/>
  <c r="BH15" i="12"/>
  <c r="BH16" i="12" s="1"/>
  <c r="BH23" i="12"/>
  <c r="BI6" i="12"/>
  <c r="BI13" i="12" s="1"/>
  <c r="BH12" i="12"/>
  <c r="BH39" i="12"/>
  <c r="BJ36" i="12"/>
  <c r="BE40" i="9"/>
  <c r="BD45" i="9"/>
  <c r="BD48" i="9" s="1"/>
  <c r="BE46" i="9"/>
  <c r="FC1" i="12"/>
  <c r="FB15" i="12"/>
  <c r="FB27" i="12"/>
  <c r="FB40" i="12"/>
  <c r="BJ37" i="12" l="1"/>
  <c r="BJ38" i="12"/>
  <c r="BJ40" i="12" s="1"/>
  <c r="BJ41" i="12" s="1"/>
  <c r="BI26" i="12"/>
  <c r="BJ24" i="12"/>
  <c r="BK22" i="12"/>
  <c r="BK25" i="12" s="1"/>
  <c r="BJ27" i="12"/>
  <c r="BJ28" i="12" s="1"/>
  <c r="BI12" i="12"/>
  <c r="BJ6" i="12"/>
  <c r="BJ13" i="12" s="1"/>
  <c r="BI15" i="12"/>
  <c r="BI16" i="12" s="1"/>
  <c r="BI23" i="12"/>
  <c r="BI39" i="12"/>
  <c r="BK36" i="12"/>
  <c r="BF46" i="9"/>
  <c r="BF40" i="9"/>
  <c r="BF45" i="9" s="1"/>
  <c r="BE45" i="9"/>
  <c r="BE48" i="9" s="1"/>
  <c r="FD1" i="12"/>
  <c r="FC15" i="12"/>
  <c r="FC27" i="12"/>
  <c r="FC40" i="12"/>
  <c r="BK38" i="12" l="1"/>
  <c r="BK37" i="12"/>
  <c r="BJ26" i="12"/>
  <c r="BI14" i="12"/>
  <c r="BJ15" i="12"/>
  <c r="BJ16" i="12" s="1"/>
  <c r="BK6" i="12"/>
  <c r="BK13" i="12" s="1"/>
  <c r="BJ12" i="12"/>
  <c r="BJ23" i="12"/>
  <c r="BL22" i="12"/>
  <c r="BL25" i="12" s="1"/>
  <c r="BK27" i="12"/>
  <c r="BK28" i="12" s="1"/>
  <c r="BK24" i="12"/>
  <c r="BJ39" i="12"/>
  <c r="BL36" i="12"/>
  <c r="BF48" i="9"/>
  <c r="G47" i="9"/>
  <c r="H64" i="9" s="1"/>
  <c r="D67" i="9" s="1"/>
  <c r="FE1" i="12"/>
  <c r="FD15" i="12"/>
  <c r="FD27" i="12"/>
  <c r="FD40" i="12"/>
  <c r="BL37" i="12" l="1"/>
  <c r="BL38" i="12"/>
  <c r="BJ14" i="12"/>
  <c r="BK14" i="12" s="1"/>
  <c r="BL6" i="12"/>
  <c r="BL13" i="12" s="1"/>
  <c r="BK23" i="12"/>
  <c r="BK12" i="12"/>
  <c r="BK15" i="12"/>
  <c r="BK16" i="12" s="1"/>
  <c r="BL24" i="12"/>
  <c r="BK26" i="12"/>
  <c r="BK39" i="12"/>
  <c r="BK40" i="12"/>
  <c r="BK41" i="12" s="1"/>
  <c r="FF1" i="12"/>
  <c r="FE15" i="12"/>
  <c r="FE27" i="12"/>
  <c r="FE40" i="12"/>
  <c r="BL26" i="12" l="1"/>
  <c r="BM26" i="12" s="1"/>
  <c r="BN26" i="12" s="1"/>
  <c r="BO26" i="12" s="1"/>
  <c r="BP26" i="12" s="1"/>
  <c r="BQ26" i="12" s="1"/>
  <c r="BR26" i="12" s="1"/>
  <c r="BS26" i="12" s="1"/>
  <c r="BT26" i="12" s="1"/>
  <c r="BU26" i="12" s="1"/>
  <c r="BV26" i="12" s="1"/>
  <c r="BW26" i="12" s="1"/>
  <c r="BX26" i="12" s="1"/>
  <c r="BY26" i="12" s="1"/>
  <c r="BZ26" i="12" s="1"/>
  <c r="CA26" i="12" s="1"/>
  <c r="CB26" i="12" s="1"/>
  <c r="CC26" i="12" s="1"/>
  <c r="CD26" i="12" s="1"/>
  <c r="CE26" i="12" s="1"/>
  <c r="CF26" i="12" s="1"/>
  <c r="CG26" i="12" s="1"/>
  <c r="CH26" i="12" s="1"/>
  <c r="CI26" i="12" s="1"/>
  <c r="CJ26" i="12" s="1"/>
  <c r="CK26" i="12" s="1"/>
  <c r="CL26" i="12" s="1"/>
  <c r="CM26" i="12" s="1"/>
  <c r="CN26" i="12" s="1"/>
  <c r="CO26" i="12" s="1"/>
  <c r="CP26" i="12" s="1"/>
  <c r="CQ26" i="12" s="1"/>
  <c r="CR26" i="12" s="1"/>
  <c r="CS26" i="12" s="1"/>
  <c r="CT26" i="12" s="1"/>
  <c r="CU26" i="12" s="1"/>
  <c r="CV26" i="12" s="1"/>
  <c r="CW26" i="12" s="1"/>
  <c r="CX26" i="12" s="1"/>
  <c r="CY26" i="12" s="1"/>
  <c r="CZ26" i="12" s="1"/>
  <c r="DA26" i="12" s="1"/>
  <c r="DB26" i="12" s="1"/>
  <c r="DC26" i="12" s="1"/>
  <c r="DD26" i="12" s="1"/>
  <c r="DE26" i="12" s="1"/>
  <c r="DF26" i="12" s="1"/>
  <c r="DG26" i="12" s="1"/>
  <c r="DH26" i="12" s="1"/>
  <c r="DI26" i="12" s="1"/>
  <c r="DJ26" i="12" s="1"/>
  <c r="DK26" i="12" s="1"/>
  <c r="DL26" i="12" s="1"/>
  <c r="DM26" i="12" s="1"/>
  <c r="DN26" i="12" s="1"/>
  <c r="DO26" i="12" s="1"/>
  <c r="DP26" i="12" s="1"/>
  <c r="DQ26" i="12" s="1"/>
  <c r="DR26" i="12" s="1"/>
  <c r="DS26" i="12" s="1"/>
  <c r="DT26" i="12" s="1"/>
  <c r="DU26" i="12" s="1"/>
  <c r="DV26" i="12" s="1"/>
  <c r="DW26" i="12" s="1"/>
  <c r="DX26" i="12" s="1"/>
  <c r="DY26" i="12" s="1"/>
  <c r="DZ26" i="12" s="1"/>
  <c r="EA26" i="12" s="1"/>
  <c r="EB26" i="12" s="1"/>
  <c r="EC26" i="12" s="1"/>
  <c r="ED26" i="12" s="1"/>
  <c r="EE26" i="12" s="1"/>
  <c r="EF26" i="12" s="1"/>
  <c r="EG26" i="12" s="1"/>
  <c r="EH26" i="12" s="1"/>
  <c r="EI26" i="12" s="1"/>
  <c r="EJ26" i="12" s="1"/>
  <c r="EK26" i="12" s="1"/>
  <c r="EL26" i="12" s="1"/>
  <c r="EM26" i="12" s="1"/>
  <c r="EN26" i="12" s="1"/>
  <c r="EO26" i="12" s="1"/>
  <c r="EP26" i="12" s="1"/>
  <c r="EQ26" i="12" s="1"/>
  <c r="ER26" i="12" s="1"/>
  <c r="ES26" i="12" s="1"/>
  <c r="ET26" i="12" s="1"/>
  <c r="EU26" i="12" s="1"/>
  <c r="EV26" i="12" s="1"/>
  <c r="EW26" i="12" s="1"/>
  <c r="EX26" i="12" s="1"/>
  <c r="EY26" i="12" s="1"/>
  <c r="EZ26" i="12" s="1"/>
  <c r="FA26" i="12" s="1"/>
  <c r="FB26" i="12" s="1"/>
  <c r="FC26" i="12" s="1"/>
  <c r="FD26" i="12" s="1"/>
  <c r="FE26" i="12" s="1"/>
  <c r="FF26" i="12" s="1"/>
  <c r="FG26" i="12" s="1"/>
  <c r="FH26" i="12" s="1"/>
  <c r="FI26" i="12" s="1"/>
  <c r="FJ26" i="12" s="1"/>
  <c r="FK26" i="12" s="1"/>
  <c r="FL26" i="12" s="1"/>
  <c r="FM26" i="12" s="1"/>
  <c r="FN26" i="12" s="1"/>
  <c r="FO26" i="12" s="1"/>
  <c r="FP26" i="12" s="1"/>
  <c r="FQ26" i="12" s="1"/>
  <c r="FR26" i="12" s="1"/>
  <c r="FS26" i="12" s="1"/>
  <c r="FT26" i="12" s="1"/>
  <c r="FU26" i="12" s="1"/>
  <c r="FV26" i="12" s="1"/>
  <c r="FW26" i="12" s="1"/>
  <c r="FX26" i="12" s="1"/>
  <c r="FY26" i="12" s="1"/>
  <c r="FZ26" i="12" s="1"/>
  <c r="GA26" i="12" s="1"/>
  <c r="GB26" i="12" s="1"/>
  <c r="GC26" i="12" s="1"/>
  <c r="GD26" i="12" s="1"/>
  <c r="GE26" i="12" s="1"/>
  <c r="GF26" i="12" s="1"/>
  <c r="GG26" i="12" s="1"/>
  <c r="GH26" i="12" s="1"/>
  <c r="GI26" i="12" s="1"/>
  <c r="GJ26" i="12" s="1"/>
  <c r="GK26" i="12" s="1"/>
  <c r="GL26" i="12" s="1"/>
  <c r="GM26" i="12" s="1"/>
  <c r="GN26" i="12" s="1"/>
  <c r="GO26" i="12" s="1"/>
  <c r="GP26" i="12" s="1"/>
  <c r="GQ26" i="12" s="1"/>
  <c r="GR26" i="12" s="1"/>
  <c r="GS26" i="12" s="1"/>
  <c r="GT26" i="12" s="1"/>
  <c r="GU26" i="12" s="1"/>
  <c r="GV26" i="12" s="1"/>
  <c r="GW26" i="12" s="1"/>
  <c r="GX26" i="12" s="1"/>
  <c r="GY26" i="12" s="1"/>
  <c r="GZ26" i="12" s="1"/>
  <c r="HA26" i="12" s="1"/>
  <c r="HB26" i="12" s="1"/>
  <c r="HC26" i="12" s="1"/>
  <c r="HD26" i="12" s="1"/>
  <c r="HE26" i="12" s="1"/>
  <c r="HF26" i="12" s="1"/>
  <c r="HG26" i="12" s="1"/>
  <c r="HH26" i="12" s="1"/>
  <c r="HI26" i="12" s="1"/>
  <c r="HJ26" i="12" s="1"/>
  <c r="HK26" i="12" s="1"/>
  <c r="HL26" i="12" s="1"/>
  <c r="HM26" i="12" s="1"/>
  <c r="HN26" i="12" s="1"/>
  <c r="HO26" i="12" s="1"/>
  <c r="HP26" i="12" s="1"/>
  <c r="HQ26" i="12" s="1"/>
  <c r="HR26" i="12" s="1"/>
  <c r="HS26" i="12" s="1"/>
  <c r="HT26" i="12" s="1"/>
  <c r="HU26" i="12" s="1"/>
  <c r="HV26" i="12" s="1"/>
  <c r="HW26" i="12" s="1"/>
  <c r="HX26" i="12" s="1"/>
  <c r="HY26" i="12" s="1"/>
  <c r="HZ26" i="12" s="1"/>
  <c r="IA26" i="12" s="1"/>
  <c r="IB26" i="12" s="1"/>
  <c r="IC26" i="12" s="1"/>
  <c r="ID26" i="12" s="1"/>
  <c r="IE26" i="12" s="1"/>
  <c r="IF26" i="12" s="1"/>
  <c r="IG26" i="12" s="1"/>
  <c r="B31" i="12" s="1"/>
  <c r="C31" i="12" s="1"/>
  <c r="BL27" i="12"/>
  <c r="BL28" i="12" s="1"/>
  <c r="BM28" i="12" s="1"/>
  <c r="BN28" i="12" s="1"/>
  <c r="BO28" i="12" s="1"/>
  <c r="BP28" i="12" s="1"/>
  <c r="BQ28" i="12" s="1"/>
  <c r="BR28" i="12" s="1"/>
  <c r="BS28" i="12" s="1"/>
  <c r="BT28" i="12" s="1"/>
  <c r="BU28" i="12" s="1"/>
  <c r="BV28" i="12" s="1"/>
  <c r="BW28" i="12" s="1"/>
  <c r="BX28" i="12" s="1"/>
  <c r="BY28" i="12" s="1"/>
  <c r="BZ28" i="12" s="1"/>
  <c r="CA28" i="12" s="1"/>
  <c r="CB28" i="12" s="1"/>
  <c r="CC28" i="12" s="1"/>
  <c r="CD28" i="12" s="1"/>
  <c r="CE28" i="12" s="1"/>
  <c r="CF28" i="12" s="1"/>
  <c r="CG28" i="12" s="1"/>
  <c r="CH28" i="12" s="1"/>
  <c r="CI28" i="12" s="1"/>
  <c r="CJ28" i="12" s="1"/>
  <c r="CK28" i="12" s="1"/>
  <c r="CL28" i="12" s="1"/>
  <c r="CM28" i="12" s="1"/>
  <c r="CN28" i="12" s="1"/>
  <c r="CO28" i="12" s="1"/>
  <c r="CP28" i="12" s="1"/>
  <c r="CQ28" i="12" s="1"/>
  <c r="CR28" i="12" s="1"/>
  <c r="CS28" i="12" s="1"/>
  <c r="CT28" i="12" s="1"/>
  <c r="CU28" i="12" s="1"/>
  <c r="CV28" i="12" s="1"/>
  <c r="CW28" i="12" s="1"/>
  <c r="CX28" i="12" s="1"/>
  <c r="CY28" i="12" s="1"/>
  <c r="CZ28" i="12" s="1"/>
  <c r="DA28" i="12" s="1"/>
  <c r="DB28" i="12" s="1"/>
  <c r="DC28" i="12" s="1"/>
  <c r="DD28" i="12" s="1"/>
  <c r="DE28" i="12" s="1"/>
  <c r="DF28" i="12" s="1"/>
  <c r="DG28" i="12" s="1"/>
  <c r="DH28" i="12" s="1"/>
  <c r="DI28" i="12" s="1"/>
  <c r="DJ28" i="12" s="1"/>
  <c r="DK28" i="12" s="1"/>
  <c r="DL28" i="12" s="1"/>
  <c r="DM28" i="12" s="1"/>
  <c r="DN28" i="12" s="1"/>
  <c r="DO28" i="12" s="1"/>
  <c r="DP28" i="12" s="1"/>
  <c r="DQ28" i="12" s="1"/>
  <c r="DR28" i="12" s="1"/>
  <c r="DS28" i="12" s="1"/>
  <c r="DT28" i="12" s="1"/>
  <c r="DU28" i="12" s="1"/>
  <c r="DV28" i="12" s="1"/>
  <c r="DW28" i="12" s="1"/>
  <c r="DX28" i="12" s="1"/>
  <c r="DY28" i="12" s="1"/>
  <c r="DZ28" i="12" s="1"/>
  <c r="EA28" i="12" s="1"/>
  <c r="EB28" i="12" s="1"/>
  <c r="EC28" i="12" s="1"/>
  <c r="ED28" i="12" s="1"/>
  <c r="EE28" i="12" s="1"/>
  <c r="EF28" i="12" s="1"/>
  <c r="EG28" i="12" s="1"/>
  <c r="EH28" i="12" s="1"/>
  <c r="EI28" i="12" s="1"/>
  <c r="EJ28" i="12" s="1"/>
  <c r="EK28" i="12" s="1"/>
  <c r="EL28" i="12" s="1"/>
  <c r="EM28" i="12" s="1"/>
  <c r="EN28" i="12" s="1"/>
  <c r="EO28" i="12" s="1"/>
  <c r="EP28" i="12" s="1"/>
  <c r="EQ28" i="12" s="1"/>
  <c r="ER28" i="12" s="1"/>
  <c r="ES28" i="12" s="1"/>
  <c r="ET28" i="12" s="1"/>
  <c r="EU28" i="12" s="1"/>
  <c r="EV28" i="12" s="1"/>
  <c r="EW28" i="12" s="1"/>
  <c r="EX28" i="12" s="1"/>
  <c r="EY28" i="12" s="1"/>
  <c r="EZ28" i="12" s="1"/>
  <c r="FA28" i="12" s="1"/>
  <c r="FB28" i="12" s="1"/>
  <c r="FC28" i="12" s="1"/>
  <c r="FD28" i="12" s="1"/>
  <c r="FE28" i="12" s="1"/>
  <c r="B30" i="12"/>
  <c r="B29" i="12"/>
  <c r="E17" i="14"/>
  <c r="BL12" i="12"/>
  <c r="BL23" i="12"/>
  <c r="BL14" i="12"/>
  <c r="BM14" i="12" s="1"/>
  <c r="BN14" i="12" s="1"/>
  <c r="BO14" i="12" s="1"/>
  <c r="BP14" i="12" s="1"/>
  <c r="BQ14" i="12" s="1"/>
  <c r="BR14" i="12" s="1"/>
  <c r="BS14" i="12" s="1"/>
  <c r="BT14" i="12" s="1"/>
  <c r="BU14" i="12" s="1"/>
  <c r="BV14" i="12" s="1"/>
  <c r="BW14" i="12" s="1"/>
  <c r="BX14" i="12" s="1"/>
  <c r="BY14" i="12" s="1"/>
  <c r="BZ14" i="12" s="1"/>
  <c r="CA14" i="12" s="1"/>
  <c r="CB14" i="12" s="1"/>
  <c r="CC14" i="12" s="1"/>
  <c r="CD14" i="12" s="1"/>
  <c r="CE14" i="12" s="1"/>
  <c r="CF14" i="12" s="1"/>
  <c r="CG14" i="12" s="1"/>
  <c r="CH14" i="12" s="1"/>
  <c r="CI14" i="12" s="1"/>
  <c r="CJ14" i="12" s="1"/>
  <c r="CK14" i="12" s="1"/>
  <c r="CL14" i="12" s="1"/>
  <c r="CM14" i="12" s="1"/>
  <c r="CN14" i="12" s="1"/>
  <c r="CO14" i="12" s="1"/>
  <c r="CP14" i="12" s="1"/>
  <c r="CQ14" i="12" s="1"/>
  <c r="CR14" i="12" s="1"/>
  <c r="CS14" i="12" s="1"/>
  <c r="CT14" i="12" s="1"/>
  <c r="CU14" i="12" s="1"/>
  <c r="CV14" i="12" s="1"/>
  <c r="CW14" i="12" s="1"/>
  <c r="CX14" i="12" s="1"/>
  <c r="CY14" i="12" s="1"/>
  <c r="CZ14" i="12" s="1"/>
  <c r="DA14" i="12" s="1"/>
  <c r="DB14" i="12" s="1"/>
  <c r="DC14" i="12" s="1"/>
  <c r="DD14" i="12" s="1"/>
  <c r="DE14" i="12" s="1"/>
  <c r="DF14" i="12" s="1"/>
  <c r="DG14" i="12" s="1"/>
  <c r="DH14" i="12" s="1"/>
  <c r="DI14" i="12" s="1"/>
  <c r="DJ14" i="12" s="1"/>
  <c r="DK14" i="12" s="1"/>
  <c r="DL14" i="12" s="1"/>
  <c r="DM14" i="12" s="1"/>
  <c r="DN14" i="12" s="1"/>
  <c r="DO14" i="12" s="1"/>
  <c r="DP14" i="12" s="1"/>
  <c r="DQ14" i="12" s="1"/>
  <c r="DR14" i="12" s="1"/>
  <c r="DS14" i="12" s="1"/>
  <c r="DT14" i="12" s="1"/>
  <c r="DU14" i="12" s="1"/>
  <c r="DV14" i="12" s="1"/>
  <c r="DW14" i="12" s="1"/>
  <c r="DX14" i="12" s="1"/>
  <c r="DY14" i="12" s="1"/>
  <c r="DZ14" i="12" s="1"/>
  <c r="EA14" i="12" s="1"/>
  <c r="EB14" i="12" s="1"/>
  <c r="EC14" i="12" s="1"/>
  <c r="ED14" i="12" s="1"/>
  <c r="EE14" i="12" s="1"/>
  <c r="EF14" i="12" s="1"/>
  <c r="EG14" i="12" s="1"/>
  <c r="EH14" i="12" s="1"/>
  <c r="EI14" i="12" s="1"/>
  <c r="EJ14" i="12" s="1"/>
  <c r="EK14" i="12" s="1"/>
  <c r="EL14" i="12" s="1"/>
  <c r="EM14" i="12" s="1"/>
  <c r="EN14" i="12" s="1"/>
  <c r="EO14" i="12" s="1"/>
  <c r="EP14" i="12" s="1"/>
  <c r="EQ14" i="12" s="1"/>
  <c r="ER14" i="12" s="1"/>
  <c r="ES14" i="12" s="1"/>
  <c r="ET14" i="12" s="1"/>
  <c r="EU14" i="12" s="1"/>
  <c r="EV14" i="12" s="1"/>
  <c r="EW14" i="12" s="1"/>
  <c r="EX14" i="12" s="1"/>
  <c r="EY14" i="12" s="1"/>
  <c r="EZ14" i="12" s="1"/>
  <c r="FA14" i="12" s="1"/>
  <c r="FB14" i="12" s="1"/>
  <c r="FC14" i="12" s="1"/>
  <c r="FD14" i="12" s="1"/>
  <c r="FE14" i="12" s="1"/>
  <c r="FF14" i="12" s="1"/>
  <c r="FG14" i="12" s="1"/>
  <c r="FH14" i="12" s="1"/>
  <c r="FI14" i="12" s="1"/>
  <c r="FJ14" i="12" s="1"/>
  <c r="FK14" i="12" s="1"/>
  <c r="FL14" i="12" s="1"/>
  <c r="FM14" i="12" s="1"/>
  <c r="FN14" i="12" s="1"/>
  <c r="FO14" i="12" s="1"/>
  <c r="FP14" i="12" s="1"/>
  <c r="FQ14" i="12" s="1"/>
  <c r="FR14" i="12" s="1"/>
  <c r="FS14" i="12" s="1"/>
  <c r="FT14" i="12" s="1"/>
  <c r="FU14" i="12" s="1"/>
  <c r="FV14" i="12" s="1"/>
  <c r="FW14" i="12" s="1"/>
  <c r="FX14" i="12" s="1"/>
  <c r="FY14" i="12" s="1"/>
  <c r="FZ14" i="12" s="1"/>
  <c r="GA14" i="12" s="1"/>
  <c r="GB14" i="12" s="1"/>
  <c r="GC14" i="12" s="1"/>
  <c r="GD14" i="12" s="1"/>
  <c r="GE14" i="12" s="1"/>
  <c r="GF14" i="12" s="1"/>
  <c r="GG14" i="12" s="1"/>
  <c r="GH14" i="12" s="1"/>
  <c r="GI14" i="12" s="1"/>
  <c r="GJ14" i="12" s="1"/>
  <c r="GK14" i="12" s="1"/>
  <c r="GL14" i="12" s="1"/>
  <c r="GM14" i="12" s="1"/>
  <c r="GN14" i="12" s="1"/>
  <c r="GO14" i="12" s="1"/>
  <c r="GP14" i="12" s="1"/>
  <c r="GQ14" i="12" s="1"/>
  <c r="GR14" i="12" s="1"/>
  <c r="GS14" i="12" s="1"/>
  <c r="GT14" i="12" s="1"/>
  <c r="GU14" i="12" s="1"/>
  <c r="GV14" i="12" s="1"/>
  <c r="GW14" i="12" s="1"/>
  <c r="GX14" i="12" s="1"/>
  <c r="GY14" i="12" s="1"/>
  <c r="GZ14" i="12" s="1"/>
  <c r="HA14" i="12" s="1"/>
  <c r="HB14" i="12" s="1"/>
  <c r="HC14" i="12" s="1"/>
  <c r="HD14" i="12" s="1"/>
  <c r="HE14" i="12" s="1"/>
  <c r="HF14" i="12" s="1"/>
  <c r="HG14" i="12" s="1"/>
  <c r="HH14" i="12" s="1"/>
  <c r="HI14" i="12" s="1"/>
  <c r="HJ14" i="12" s="1"/>
  <c r="HK14" i="12" s="1"/>
  <c r="HL14" i="12" s="1"/>
  <c r="HM14" i="12" s="1"/>
  <c r="HN14" i="12" s="1"/>
  <c r="HO14" i="12" s="1"/>
  <c r="HP14" i="12" s="1"/>
  <c r="HQ14" i="12" s="1"/>
  <c r="HR14" i="12" s="1"/>
  <c r="HS14" i="12" s="1"/>
  <c r="HT14" i="12" s="1"/>
  <c r="HU14" i="12" s="1"/>
  <c r="HV14" i="12" s="1"/>
  <c r="HW14" i="12" s="1"/>
  <c r="HX14" i="12" s="1"/>
  <c r="HY14" i="12" s="1"/>
  <c r="HZ14" i="12" s="1"/>
  <c r="IA14" i="12" s="1"/>
  <c r="IB14" i="12" s="1"/>
  <c r="IC14" i="12" s="1"/>
  <c r="ID14" i="12" s="1"/>
  <c r="IE14" i="12" s="1"/>
  <c r="IF14" i="12" s="1"/>
  <c r="IG14" i="12" s="1"/>
  <c r="B19" i="12" s="1"/>
  <c r="BL40" i="12"/>
  <c r="BL41" i="12" s="1"/>
  <c r="BM41" i="12" s="1"/>
  <c r="BN41" i="12" s="1"/>
  <c r="BO41" i="12" s="1"/>
  <c r="BP41" i="12" s="1"/>
  <c r="BQ41" i="12" s="1"/>
  <c r="BR41" i="12" s="1"/>
  <c r="BS41" i="12" s="1"/>
  <c r="BT41" i="12" s="1"/>
  <c r="BU41" i="12" s="1"/>
  <c r="BV41" i="12" s="1"/>
  <c r="BW41" i="12" s="1"/>
  <c r="BX41" i="12" s="1"/>
  <c r="BY41" i="12" s="1"/>
  <c r="BZ41" i="12" s="1"/>
  <c r="CA41" i="12" s="1"/>
  <c r="CB41" i="12" s="1"/>
  <c r="CC41" i="12" s="1"/>
  <c r="CD41" i="12" s="1"/>
  <c r="CE41" i="12" s="1"/>
  <c r="CF41" i="12" s="1"/>
  <c r="CG41" i="12" s="1"/>
  <c r="CH41" i="12" s="1"/>
  <c r="CI41" i="12" s="1"/>
  <c r="CJ41" i="12" s="1"/>
  <c r="CK41" i="12" s="1"/>
  <c r="CL41" i="12" s="1"/>
  <c r="CM41" i="12" s="1"/>
  <c r="CN41" i="12" s="1"/>
  <c r="CO41" i="12" s="1"/>
  <c r="CP41" i="12" s="1"/>
  <c r="CQ41" i="12" s="1"/>
  <c r="CR41" i="12" s="1"/>
  <c r="CS41" i="12" s="1"/>
  <c r="CT41" i="12" s="1"/>
  <c r="CU41" i="12" s="1"/>
  <c r="CV41" i="12" s="1"/>
  <c r="CW41" i="12" s="1"/>
  <c r="CX41" i="12" s="1"/>
  <c r="CY41" i="12" s="1"/>
  <c r="CZ41" i="12" s="1"/>
  <c r="DA41" i="12" s="1"/>
  <c r="DB41" i="12" s="1"/>
  <c r="DC41" i="12" s="1"/>
  <c r="DD41" i="12" s="1"/>
  <c r="DE41" i="12" s="1"/>
  <c r="DF41" i="12" s="1"/>
  <c r="DG41" i="12" s="1"/>
  <c r="DH41" i="12" s="1"/>
  <c r="DI41" i="12" s="1"/>
  <c r="DJ41" i="12" s="1"/>
  <c r="DK41" i="12" s="1"/>
  <c r="DL41" i="12" s="1"/>
  <c r="DM41" i="12" s="1"/>
  <c r="DN41" i="12" s="1"/>
  <c r="DO41" i="12" s="1"/>
  <c r="DP41" i="12" s="1"/>
  <c r="DQ41" i="12" s="1"/>
  <c r="DR41" i="12" s="1"/>
  <c r="DS41" i="12" s="1"/>
  <c r="DT41" i="12" s="1"/>
  <c r="DU41" i="12" s="1"/>
  <c r="DV41" i="12" s="1"/>
  <c r="DW41" i="12" s="1"/>
  <c r="DX41" i="12" s="1"/>
  <c r="DY41" i="12" s="1"/>
  <c r="DZ41" i="12" s="1"/>
  <c r="EA41" i="12" s="1"/>
  <c r="EB41" i="12" s="1"/>
  <c r="EC41" i="12" s="1"/>
  <c r="ED41" i="12" s="1"/>
  <c r="EE41" i="12" s="1"/>
  <c r="EF41" i="12" s="1"/>
  <c r="EG41" i="12" s="1"/>
  <c r="EH41" i="12" s="1"/>
  <c r="EI41" i="12" s="1"/>
  <c r="EJ41" i="12" s="1"/>
  <c r="EK41" i="12" s="1"/>
  <c r="EL41" i="12" s="1"/>
  <c r="EM41" i="12" s="1"/>
  <c r="EN41" i="12" s="1"/>
  <c r="EO41" i="12" s="1"/>
  <c r="EP41" i="12" s="1"/>
  <c r="EQ41" i="12" s="1"/>
  <c r="ER41" i="12" s="1"/>
  <c r="ES41" i="12" s="1"/>
  <c r="ET41" i="12" s="1"/>
  <c r="EU41" i="12" s="1"/>
  <c r="EV41" i="12" s="1"/>
  <c r="EW41" i="12" s="1"/>
  <c r="EX41" i="12" s="1"/>
  <c r="EY41" i="12" s="1"/>
  <c r="EZ41" i="12" s="1"/>
  <c r="FA41" i="12" s="1"/>
  <c r="FB41" i="12" s="1"/>
  <c r="FC41" i="12" s="1"/>
  <c r="FD41" i="12" s="1"/>
  <c r="FE41" i="12" s="1"/>
  <c r="B43" i="12"/>
  <c r="B42" i="12"/>
  <c r="BL39" i="12"/>
  <c r="BM39" i="12" s="1"/>
  <c r="BN39" i="12" s="1"/>
  <c r="BO39" i="12" s="1"/>
  <c r="BP39" i="12" s="1"/>
  <c r="BQ39" i="12" s="1"/>
  <c r="BR39" i="12" s="1"/>
  <c r="BS39" i="12" s="1"/>
  <c r="BT39" i="12" s="1"/>
  <c r="BU39" i="12" s="1"/>
  <c r="BV39" i="12" s="1"/>
  <c r="BW39" i="12" s="1"/>
  <c r="BX39" i="12" s="1"/>
  <c r="BY39" i="12" s="1"/>
  <c r="BZ39" i="12" s="1"/>
  <c r="CA39" i="12" s="1"/>
  <c r="CB39" i="12" s="1"/>
  <c r="CC39" i="12" s="1"/>
  <c r="CD39" i="12" s="1"/>
  <c r="CE39" i="12" s="1"/>
  <c r="CF39" i="12" s="1"/>
  <c r="CG39" i="12" s="1"/>
  <c r="CH39" i="12" s="1"/>
  <c r="CI39" i="12" s="1"/>
  <c r="CJ39" i="12" s="1"/>
  <c r="CK39" i="12" s="1"/>
  <c r="CL39" i="12" s="1"/>
  <c r="CM39" i="12" s="1"/>
  <c r="CN39" i="12" s="1"/>
  <c r="CO39" i="12" s="1"/>
  <c r="CP39" i="12" s="1"/>
  <c r="CQ39" i="12" s="1"/>
  <c r="CR39" i="12" s="1"/>
  <c r="CS39" i="12" s="1"/>
  <c r="CT39" i="12" s="1"/>
  <c r="CU39" i="12" s="1"/>
  <c r="CV39" i="12" s="1"/>
  <c r="CW39" i="12" s="1"/>
  <c r="CX39" i="12" s="1"/>
  <c r="CY39" i="12" s="1"/>
  <c r="CZ39" i="12" s="1"/>
  <c r="DA39" i="12" s="1"/>
  <c r="DB39" i="12" s="1"/>
  <c r="DC39" i="12" s="1"/>
  <c r="DD39" i="12" s="1"/>
  <c r="DE39" i="12" s="1"/>
  <c r="DF39" i="12" s="1"/>
  <c r="DG39" i="12" s="1"/>
  <c r="DH39" i="12" s="1"/>
  <c r="DI39" i="12" s="1"/>
  <c r="DJ39" i="12" s="1"/>
  <c r="DK39" i="12" s="1"/>
  <c r="DL39" i="12" s="1"/>
  <c r="DM39" i="12" s="1"/>
  <c r="DN39" i="12" s="1"/>
  <c r="DO39" i="12" s="1"/>
  <c r="DP39" i="12" s="1"/>
  <c r="DQ39" i="12" s="1"/>
  <c r="DR39" i="12" s="1"/>
  <c r="DS39" i="12" s="1"/>
  <c r="DT39" i="12" s="1"/>
  <c r="DU39" i="12" s="1"/>
  <c r="DV39" i="12" s="1"/>
  <c r="DW39" i="12" s="1"/>
  <c r="DX39" i="12" s="1"/>
  <c r="DY39" i="12" s="1"/>
  <c r="DZ39" i="12" s="1"/>
  <c r="EA39" i="12" s="1"/>
  <c r="EB39" i="12" s="1"/>
  <c r="EC39" i="12" s="1"/>
  <c r="ED39" i="12" s="1"/>
  <c r="EE39" i="12" s="1"/>
  <c r="EF39" i="12" s="1"/>
  <c r="EG39" i="12" s="1"/>
  <c r="EH39" i="12" s="1"/>
  <c r="EI39" i="12" s="1"/>
  <c r="EJ39" i="12" s="1"/>
  <c r="EK39" i="12" s="1"/>
  <c r="EL39" i="12" s="1"/>
  <c r="EM39" i="12" s="1"/>
  <c r="EN39" i="12" s="1"/>
  <c r="EO39" i="12" s="1"/>
  <c r="EP39" i="12" s="1"/>
  <c r="EQ39" i="12" s="1"/>
  <c r="ER39" i="12" s="1"/>
  <c r="ES39" i="12" s="1"/>
  <c r="ET39" i="12" s="1"/>
  <c r="EU39" i="12" s="1"/>
  <c r="EV39" i="12" s="1"/>
  <c r="EW39" i="12" s="1"/>
  <c r="EX39" i="12" s="1"/>
  <c r="EY39" i="12" s="1"/>
  <c r="EZ39" i="12" s="1"/>
  <c r="FA39" i="12" s="1"/>
  <c r="FB39" i="12" s="1"/>
  <c r="FC39" i="12" s="1"/>
  <c r="FD39" i="12" s="1"/>
  <c r="FE39" i="12" s="1"/>
  <c r="FF39" i="12" s="1"/>
  <c r="FG39" i="12" s="1"/>
  <c r="FH39" i="12" s="1"/>
  <c r="FI39" i="12" s="1"/>
  <c r="FJ39" i="12" s="1"/>
  <c r="FK39" i="12" s="1"/>
  <c r="FL39" i="12" s="1"/>
  <c r="FM39" i="12" s="1"/>
  <c r="FN39" i="12" s="1"/>
  <c r="FO39" i="12" s="1"/>
  <c r="FP39" i="12" s="1"/>
  <c r="FQ39" i="12" s="1"/>
  <c r="FR39" i="12" s="1"/>
  <c r="FS39" i="12" s="1"/>
  <c r="FT39" i="12" s="1"/>
  <c r="FU39" i="12" s="1"/>
  <c r="FV39" i="12" s="1"/>
  <c r="FW39" i="12" s="1"/>
  <c r="FX39" i="12" s="1"/>
  <c r="FY39" i="12" s="1"/>
  <c r="FZ39" i="12" s="1"/>
  <c r="GA39" i="12" s="1"/>
  <c r="GB39" i="12" s="1"/>
  <c r="GC39" i="12" s="1"/>
  <c r="GD39" i="12" s="1"/>
  <c r="GE39" i="12" s="1"/>
  <c r="GF39" i="12" s="1"/>
  <c r="GG39" i="12" s="1"/>
  <c r="GH39" i="12" s="1"/>
  <c r="GI39" i="12" s="1"/>
  <c r="GJ39" i="12" s="1"/>
  <c r="GK39" i="12" s="1"/>
  <c r="GL39" i="12" s="1"/>
  <c r="GM39" i="12" s="1"/>
  <c r="GN39" i="12" s="1"/>
  <c r="GO39" i="12" s="1"/>
  <c r="GP39" i="12" s="1"/>
  <c r="GQ39" i="12" s="1"/>
  <c r="GR39" i="12" s="1"/>
  <c r="GS39" i="12" s="1"/>
  <c r="GT39" i="12" s="1"/>
  <c r="GU39" i="12" s="1"/>
  <c r="GV39" i="12" s="1"/>
  <c r="GW39" i="12" s="1"/>
  <c r="GX39" i="12" s="1"/>
  <c r="GY39" i="12" s="1"/>
  <c r="GZ39" i="12" s="1"/>
  <c r="HA39" i="12" s="1"/>
  <c r="HB39" i="12" s="1"/>
  <c r="HC39" i="12" s="1"/>
  <c r="HD39" i="12" s="1"/>
  <c r="HE39" i="12" s="1"/>
  <c r="HF39" i="12" s="1"/>
  <c r="HG39" i="12" s="1"/>
  <c r="HH39" i="12" s="1"/>
  <c r="HI39" i="12" s="1"/>
  <c r="HJ39" i="12" s="1"/>
  <c r="HK39" i="12" s="1"/>
  <c r="HL39" i="12" s="1"/>
  <c r="HM39" i="12" s="1"/>
  <c r="HN39" i="12" s="1"/>
  <c r="HO39" i="12" s="1"/>
  <c r="HP39" i="12" s="1"/>
  <c r="HQ39" i="12" s="1"/>
  <c r="HR39" i="12" s="1"/>
  <c r="HS39" i="12" s="1"/>
  <c r="HT39" i="12" s="1"/>
  <c r="HU39" i="12" s="1"/>
  <c r="HV39" i="12" s="1"/>
  <c r="HW39" i="12" s="1"/>
  <c r="HX39" i="12" s="1"/>
  <c r="HY39" i="12" s="1"/>
  <c r="HZ39" i="12" s="1"/>
  <c r="IA39" i="12" s="1"/>
  <c r="IB39" i="12" s="1"/>
  <c r="IC39" i="12" s="1"/>
  <c r="ID39" i="12" s="1"/>
  <c r="IE39" i="12" s="1"/>
  <c r="IF39" i="12" s="1"/>
  <c r="IG39" i="12" s="1"/>
  <c r="FG1" i="12"/>
  <c r="FF15" i="12"/>
  <c r="FF27" i="12"/>
  <c r="FF40" i="12"/>
  <c r="B75" i="4" l="1"/>
  <c r="C19" i="12"/>
  <c r="G17" i="14"/>
  <c r="D38" i="14" s="1"/>
  <c r="E38" i="14" s="1"/>
  <c r="E17" i="15"/>
  <c r="BL15" i="12"/>
  <c r="BL16" i="12" s="1"/>
  <c r="BM16" i="12" s="1"/>
  <c r="BN16" i="12" s="1"/>
  <c r="BO16" i="12" s="1"/>
  <c r="BP16" i="12" s="1"/>
  <c r="BQ16" i="12" s="1"/>
  <c r="BR16" i="12" s="1"/>
  <c r="BS16" i="12" s="1"/>
  <c r="BT16" i="12" s="1"/>
  <c r="BU16" i="12" s="1"/>
  <c r="BV16" i="12" s="1"/>
  <c r="BW16" i="12" s="1"/>
  <c r="BX16" i="12" s="1"/>
  <c r="BY16" i="12" s="1"/>
  <c r="BZ16" i="12" s="1"/>
  <c r="CA16" i="12" s="1"/>
  <c r="CB16" i="12" s="1"/>
  <c r="CC16" i="12" s="1"/>
  <c r="CD16" i="12" s="1"/>
  <c r="CE16" i="12" s="1"/>
  <c r="CF16" i="12" s="1"/>
  <c r="CG16" i="12" s="1"/>
  <c r="CH16" i="12" s="1"/>
  <c r="CI16" i="12" s="1"/>
  <c r="CJ16" i="12" s="1"/>
  <c r="CK16" i="12" s="1"/>
  <c r="CL16" i="12" s="1"/>
  <c r="CM16" i="12" s="1"/>
  <c r="CN16" i="12" s="1"/>
  <c r="CO16" i="12" s="1"/>
  <c r="CP16" i="12" s="1"/>
  <c r="CQ16" i="12" s="1"/>
  <c r="CR16" i="12" s="1"/>
  <c r="CS16" i="12" s="1"/>
  <c r="CT16" i="12" s="1"/>
  <c r="CU16" i="12" s="1"/>
  <c r="CV16" i="12" s="1"/>
  <c r="CW16" i="12" s="1"/>
  <c r="CX16" i="12" s="1"/>
  <c r="CY16" i="12" s="1"/>
  <c r="CZ16" i="12" s="1"/>
  <c r="DA16" i="12" s="1"/>
  <c r="DB16" i="12" s="1"/>
  <c r="DC16" i="12" s="1"/>
  <c r="DD16" i="12" s="1"/>
  <c r="DE16" i="12" s="1"/>
  <c r="DF16" i="12" s="1"/>
  <c r="DG16" i="12" s="1"/>
  <c r="DH16" i="12" s="1"/>
  <c r="DI16" i="12" s="1"/>
  <c r="DJ16" i="12" s="1"/>
  <c r="DK16" i="12" s="1"/>
  <c r="DL16" i="12" s="1"/>
  <c r="DM16" i="12" s="1"/>
  <c r="DN16" i="12" s="1"/>
  <c r="DO16" i="12" s="1"/>
  <c r="DP16" i="12" s="1"/>
  <c r="DQ16" i="12" s="1"/>
  <c r="DR16" i="12" s="1"/>
  <c r="DS16" i="12" s="1"/>
  <c r="DT16" i="12" s="1"/>
  <c r="DU16" i="12" s="1"/>
  <c r="DV16" i="12" s="1"/>
  <c r="DW16" i="12" s="1"/>
  <c r="DX16" i="12" s="1"/>
  <c r="DY16" i="12" s="1"/>
  <c r="DZ16" i="12" s="1"/>
  <c r="EA16" i="12" s="1"/>
  <c r="EB16" i="12" s="1"/>
  <c r="EC16" i="12" s="1"/>
  <c r="ED16" i="12" s="1"/>
  <c r="EE16" i="12" s="1"/>
  <c r="EF16" i="12" s="1"/>
  <c r="EG16" i="12" s="1"/>
  <c r="EH16" i="12" s="1"/>
  <c r="EI16" i="12" s="1"/>
  <c r="EJ16" i="12" s="1"/>
  <c r="EK16" i="12" s="1"/>
  <c r="EL16" i="12" s="1"/>
  <c r="EM16" i="12" s="1"/>
  <c r="EN16" i="12" s="1"/>
  <c r="EO16" i="12" s="1"/>
  <c r="EP16" i="12" s="1"/>
  <c r="EQ16" i="12" s="1"/>
  <c r="ER16" i="12" s="1"/>
  <c r="ES16" i="12" s="1"/>
  <c r="ET16" i="12" s="1"/>
  <c r="EU16" i="12" s="1"/>
  <c r="EV16" i="12" s="1"/>
  <c r="EW16" i="12" s="1"/>
  <c r="EX16" i="12" s="1"/>
  <c r="EY16" i="12" s="1"/>
  <c r="EZ16" i="12" s="1"/>
  <c r="FA16" i="12" s="1"/>
  <c r="FB16" i="12" s="1"/>
  <c r="FC16" i="12" s="1"/>
  <c r="FD16" i="12" s="1"/>
  <c r="FE16" i="12" s="1"/>
  <c r="FF16" i="12" s="1"/>
  <c r="B18" i="12"/>
  <c r="B17" i="12"/>
  <c r="FF28" i="12"/>
  <c r="B44" i="12"/>
  <c r="C75" i="4" s="1"/>
  <c r="C44" i="12"/>
  <c r="FF41" i="12"/>
  <c r="FH1" i="12"/>
  <c r="FG15" i="12"/>
  <c r="FG27" i="12"/>
  <c r="FG40" i="12"/>
  <c r="FG41" i="12" s="1"/>
  <c r="FG16" i="12" l="1"/>
  <c r="FG28" i="12"/>
  <c r="FI1" i="12"/>
  <c r="FH15" i="12"/>
  <c r="FH27" i="12"/>
  <c r="FH40" i="12"/>
  <c r="FH41" i="12" s="1"/>
  <c r="FH16" i="12" l="1"/>
  <c r="FH28" i="12"/>
  <c r="FJ1" i="12"/>
  <c r="FI15" i="12"/>
  <c r="FI27" i="12"/>
  <c r="FI40" i="12"/>
  <c r="FI41" i="12" s="1"/>
  <c r="FI16" i="12" l="1"/>
  <c r="FI28" i="12"/>
  <c r="FK1" i="12"/>
  <c r="FJ15" i="12"/>
  <c r="FJ27" i="12"/>
  <c r="FJ40" i="12"/>
  <c r="FJ41" i="12" s="1"/>
  <c r="FJ16" i="12" l="1"/>
  <c r="FJ28" i="12"/>
  <c r="FL1" i="12"/>
  <c r="FK15" i="12"/>
  <c r="FK27" i="12"/>
  <c r="FK40" i="12"/>
  <c r="FK41" i="12" s="1"/>
  <c r="FK16" i="12" l="1"/>
  <c r="FK28" i="12"/>
  <c r="FM1" i="12"/>
  <c r="FL15" i="12"/>
  <c r="FL27" i="12"/>
  <c r="FL40" i="12"/>
  <c r="FL41" i="12" s="1"/>
  <c r="FL16" i="12" l="1"/>
  <c r="FL28" i="12"/>
  <c r="FN1" i="12"/>
  <c r="FM15" i="12"/>
  <c r="FM27" i="12"/>
  <c r="FM40" i="12"/>
  <c r="FM41" i="12" s="1"/>
  <c r="FM16" i="12" l="1"/>
  <c r="FM28" i="12"/>
  <c r="FO1" i="12"/>
  <c r="FN15" i="12"/>
  <c r="FN27" i="12"/>
  <c r="FN40" i="12"/>
  <c r="FN41" i="12" s="1"/>
  <c r="FN16" i="12" l="1"/>
  <c r="FN28" i="12"/>
  <c r="FP1" i="12"/>
  <c r="FO15" i="12"/>
  <c r="FO27" i="12"/>
  <c r="FO40" i="12"/>
  <c r="FO41" i="12" s="1"/>
  <c r="FO16" i="12" l="1"/>
  <c r="FO28" i="12"/>
  <c r="FQ1" i="12"/>
  <c r="FP15" i="12"/>
  <c r="FP27" i="12"/>
  <c r="FP40" i="12"/>
  <c r="FP41" i="12" s="1"/>
  <c r="FP16" i="12" l="1"/>
  <c r="FP28" i="12"/>
  <c r="FR1" i="12"/>
  <c r="FQ15" i="12"/>
  <c r="FQ27" i="12"/>
  <c r="FQ40" i="12"/>
  <c r="FQ41" i="12" s="1"/>
  <c r="FQ16" i="12" l="1"/>
  <c r="FQ28" i="12"/>
  <c r="FS1" i="12"/>
  <c r="FR15" i="12"/>
  <c r="FR27" i="12"/>
  <c r="FR40" i="12"/>
  <c r="FR41" i="12" s="1"/>
  <c r="FR16" i="12" l="1"/>
  <c r="FR28" i="12"/>
  <c r="FT1" i="12"/>
  <c r="FS15" i="12"/>
  <c r="FS27" i="12"/>
  <c r="FS40" i="12"/>
  <c r="FS41" i="12" s="1"/>
  <c r="FS16" i="12" l="1"/>
  <c r="FS28" i="12"/>
  <c r="FU1" i="12"/>
  <c r="FT15" i="12"/>
  <c r="FT27" i="12"/>
  <c r="FT40" i="12"/>
  <c r="FT41" i="12" s="1"/>
  <c r="FT16" i="12" l="1"/>
  <c r="FT28" i="12"/>
  <c r="FV1" i="12"/>
  <c r="FU15" i="12"/>
  <c r="FU27" i="12"/>
  <c r="FU40" i="12"/>
  <c r="FU41" i="12" s="1"/>
  <c r="FU16" i="12" l="1"/>
  <c r="FU28" i="12"/>
  <c r="FW1" i="12"/>
  <c r="FV15" i="12"/>
  <c r="FV27" i="12"/>
  <c r="FV40" i="12"/>
  <c r="FV41" i="12" s="1"/>
  <c r="FV16" i="12" l="1"/>
  <c r="FV28" i="12"/>
  <c r="FX1" i="12"/>
  <c r="FW15" i="12"/>
  <c r="FW27" i="12"/>
  <c r="FW40" i="12"/>
  <c r="FW41" i="12" s="1"/>
  <c r="FW16" i="12" l="1"/>
  <c r="FW28" i="12"/>
  <c r="FY1" i="12"/>
  <c r="FX15" i="12"/>
  <c r="FX27" i="12"/>
  <c r="FX40" i="12"/>
  <c r="FX41" i="12" s="1"/>
  <c r="FX16" i="12" l="1"/>
  <c r="FX28" i="12"/>
  <c r="FZ1" i="12"/>
  <c r="FY15" i="12"/>
  <c r="FY27" i="12"/>
  <c r="FY40" i="12"/>
  <c r="FY41" i="12" s="1"/>
  <c r="FY16" i="12" l="1"/>
  <c r="FY28" i="12"/>
  <c r="GA1" i="12"/>
  <c r="FZ15" i="12"/>
  <c r="FZ27" i="12"/>
  <c r="FZ40" i="12"/>
  <c r="FZ41" i="12" s="1"/>
  <c r="FZ16" i="12" l="1"/>
  <c r="FZ28" i="12"/>
  <c r="GB1" i="12"/>
  <c r="GA15" i="12"/>
  <c r="GA27" i="12"/>
  <c r="GA40" i="12"/>
  <c r="GA41" i="12" s="1"/>
  <c r="GA16" i="12" l="1"/>
  <c r="GA28" i="12"/>
  <c r="GC1" i="12"/>
  <c r="GB15" i="12"/>
  <c r="GB27" i="12"/>
  <c r="GB40" i="12"/>
  <c r="GB41" i="12" s="1"/>
  <c r="GB16" i="12" l="1"/>
  <c r="GB28" i="12"/>
  <c r="GD1" i="12"/>
  <c r="GC15" i="12"/>
  <c r="GC27" i="12"/>
  <c r="GC40" i="12"/>
  <c r="GC41" i="12" s="1"/>
  <c r="GC16" i="12" l="1"/>
  <c r="GC28" i="12"/>
  <c r="GE1" i="12"/>
  <c r="GD15" i="12"/>
  <c r="GD27" i="12"/>
  <c r="GD40" i="12"/>
  <c r="GD41" i="12" s="1"/>
  <c r="GD16" i="12" l="1"/>
  <c r="GD28" i="12"/>
  <c r="GF1" i="12"/>
  <c r="GE15" i="12"/>
  <c r="GE27" i="12"/>
  <c r="GE40" i="12"/>
  <c r="GE41" i="12" s="1"/>
  <c r="GE16" i="12" l="1"/>
  <c r="GE28" i="12"/>
  <c r="GG1" i="12"/>
  <c r="GF15" i="12"/>
  <c r="GF27" i="12"/>
  <c r="GF40" i="12"/>
  <c r="GF41" i="12" s="1"/>
  <c r="GF16" i="12" l="1"/>
  <c r="GF28" i="12"/>
  <c r="GH1" i="12"/>
  <c r="GG15" i="12"/>
  <c r="GG27" i="12"/>
  <c r="GG40" i="12"/>
  <c r="GG41" i="12" s="1"/>
  <c r="GG16" i="12" l="1"/>
  <c r="GG28" i="12"/>
  <c r="GI1" i="12"/>
  <c r="GH15" i="12"/>
  <c r="GH27" i="12"/>
  <c r="GH40" i="12"/>
  <c r="GH41" i="12" s="1"/>
  <c r="GH16" i="12" l="1"/>
  <c r="GH28" i="12"/>
  <c r="GJ1" i="12"/>
  <c r="GI15" i="12"/>
  <c r="GI27" i="12"/>
  <c r="GI40" i="12"/>
  <c r="GI41" i="12" s="1"/>
  <c r="GI16" i="12" l="1"/>
  <c r="GI28" i="12"/>
  <c r="GK1" i="12"/>
  <c r="GJ15" i="12"/>
  <c r="GJ27" i="12"/>
  <c r="GJ40" i="12"/>
  <c r="GJ41" i="12" s="1"/>
  <c r="GJ16" i="12" l="1"/>
  <c r="GJ28" i="12"/>
  <c r="GL1" i="12"/>
  <c r="GK15" i="12"/>
  <c r="GK27" i="12"/>
  <c r="GK40" i="12"/>
  <c r="GK41" i="12" s="1"/>
  <c r="GK16" i="12" l="1"/>
  <c r="GK28" i="12"/>
  <c r="GM1" i="12"/>
  <c r="GL15" i="12"/>
  <c r="GL27" i="12"/>
  <c r="GL40" i="12"/>
  <c r="GL41" i="12" s="1"/>
  <c r="GL16" i="12" l="1"/>
  <c r="GL28" i="12"/>
  <c r="GN1" i="12"/>
  <c r="GM15" i="12"/>
  <c r="GM27" i="12"/>
  <c r="GM40" i="12"/>
  <c r="GM41" i="12" s="1"/>
  <c r="GM16" i="12" l="1"/>
  <c r="GM28" i="12"/>
  <c r="GO1" i="12"/>
  <c r="GN15" i="12"/>
  <c r="GN27" i="12"/>
  <c r="GN40" i="12"/>
  <c r="GN41" i="12" s="1"/>
  <c r="GN16" i="12" l="1"/>
  <c r="GN28" i="12"/>
  <c r="GP1" i="12"/>
  <c r="GO15" i="12"/>
  <c r="GO27" i="12"/>
  <c r="GO40" i="12"/>
  <c r="GO41" i="12" s="1"/>
  <c r="GO16" i="12" l="1"/>
  <c r="GO28" i="12"/>
  <c r="GQ1" i="12"/>
  <c r="GP15" i="12"/>
  <c r="GP27" i="12"/>
  <c r="GP40" i="12"/>
  <c r="GP41" i="12" s="1"/>
  <c r="GP16" i="12" l="1"/>
  <c r="GP28" i="12"/>
  <c r="GR1" i="12"/>
  <c r="GQ15" i="12"/>
  <c r="GQ27" i="12"/>
  <c r="GQ40" i="12"/>
  <c r="GQ41" i="12" s="1"/>
  <c r="GQ16" i="12" l="1"/>
  <c r="GQ28" i="12"/>
  <c r="GS1" i="12"/>
  <c r="GR15" i="12"/>
  <c r="GR27" i="12"/>
  <c r="GR40" i="12"/>
  <c r="GR41" i="12" s="1"/>
  <c r="GR16" i="12" l="1"/>
  <c r="GR28" i="12"/>
  <c r="GT1" i="12"/>
  <c r="GS15" i="12"/>
  <c r="GS27" i="12"/>
  <c r="GS40" i="12"/>
  <c r="GS41" i="12" s="1"/>
  <c r="GS16" i="12" l="1"/>
  <c r="GS28" i="12"/>
  <c r="GU1" i="12"/>
  <c r="GT15" i="12"/>
  <c r="GT27" i="12"/>
  <c r="GT40" i="12"/>
  <c r="GT41" i="12" s="1"/>
  <c r="GT16" i="12" l="1"/>
  <c r="GT28" i="12"/>
  <c r="GV1" i="12"/>
  <c r="GU15" i="12"/>
  <c r="GU27" i="12"/>
  <c r="GU40" i="12"/>
  <c r="GU41" i="12" s="1"/>
  <c r="GU16" i="12" l="1"/>
  <c r="GU28" i="12"/>
  <c r="GW1" i="12"/>
  <c r="GV15" i="12"/>
  <c r="GV27" i="12"/>
  <c r="GV40" i="12"/>
  <c r="GV41" i="12" s="1"/>
  <c r="GV16" i="12" l="1"/>
  <c r="GV28" i="12"/>
  <c r="GX1" i="12"/>
  <c r="GW15" i="12"/>
  <c r="GW27" i="12"/>
  <c r="GW40" i="12"/>
  <c r="GW41" i="12" s="1"/>
  <c r="GW16" i="12" l="1"/>
  <c r="GW28" i="12"/>
  <c r="GY1" i="12"/>
  <c r="GX15" i="12"/>
  <c r="GX27" i="12"/>
  <c r="GX40" i="12"/>
  <c r="GX41" i="12" s="1"/>
  <c r="GX16" i="12" l="1"/>
  <c r="GX28" i="12"/>
  <c r="GZ1" i="12"/>
  <c r="GY15" i="12"/>
  <c r="GY27" i="12"/>
  <c r="GY40" i="12"/>
  <c r="GY41" i="12" s="1"/>
  <c r="GY16" i="12" l="1"/>
  <c r="GY28" i="12"/>
  <c r="HA1" i="12"/>
  <c r="GZ15" i="12"/>
  <c r="GZ27" i="12"/>
  <c r="GZ40" i="12"/>
  <c r="GZ41" i="12" s="1"/>
  <c r="GZ16" i="12" l="1"/>
  <c r="GZ28" i="12"/>
  <c r="HB1" i="12"/>
  <c r="HA15" i="12"/>
  <c r="HA27" i="12"/>
  <c r="HA40" i="12"/>
  <c r="HA41" i="12" s="1"/>
  <c r="HA16" i="12" l="1"/>
  <c r="HA28" i="12"/>
  <c r="HC1" i="12"/>
  <c r="HB15" i="12"/>
  <c r="HB27" i="12"/>
  <c r="HB40" i="12"/>
  <c r="HB41" i="12" s="1"/>
  <c r="HB16" i="12" l="1"/>
  <c r="HB28" i="12"/>
  <c r="HD1" i="12"/>
  <c r="HC15" i="12"/>
  <c r="HC27" i="12"/>
  <c r="HC40" i="12"/>
  <c r="HC41" i="12" s="1"/>
  <c r="HC16" i="12" l="1"/>
  <c r="HC28" i="12"/>
  <c r="HE1" i="12"/>
  <c r="HD15" i="12"/>
  <c r="HD27" i="12"/>
  <c r="HD40" i="12"/>
  <c r="HD41" i="12" s="1"/>
  <c r="HD16" i="12" l="1"/>
  <c r="HD28" i="12"/>
  <c r="HF1" i="12"/>
  <c r="HE15" i="12"/>
  <c r="HE27" i="12"/>
  <c r="HE40" i="12"/>
  <c r="HE41" i="12" s="1"/>
  <c r="HE16" i="12" l="1"/>
  <c r="HE28" i="12"/>
  <c r="HG1" i="12"/>
  <c r="HF15" i="12"/>
  <c r="HF27" i="12"/>
  <c r="HF40" i="12"/>
  <c r="HF41" i="12" s="1"/>
  <c r="HF16" i="12" l="1"/>
  <c r="HF28" i="12"/>
  <c r="HH1" i="12"/>
  <c r="HG15" i="12"/>
  <c r="HG27" i="12"/>
  <c r="HG40" i="12"/>
  <c r="HG41" i="12" s="1"/>
  <c r="HG16" i="12" l="1"/>
  <c r="HG28" i="12"/>
  <c r="HI1" i="12"/>
  <c r="HH15" i="12"/>
  <c r="HH27" i="12"/>
  <c r="HH40" i="12"/>
  <c r="HH41" i="12" s="1"/>
  <c r="HH16" i="12" l="1"/>
  <c r="HH28" i="12"/>
  <c r="HJ1" i="12"/>
  <c r="HI15" i="12"/>
  <c r="HI27" i="12"/>
  <c r="HI40" i="12"/>
  <c r="HI41" i="12" s="1"/>
  <c r="HI16" i="12" l="1"/>
  <c r="HI28" i="12"/>
  <c r="HK1" i="12"/>
  <c r="HJ15" i="12"/>
  <c r="HJ27" i="12"/>
  <c r="HJ40" i="12"/>
  <c r="HJ41" i="12" s="1"/>
  <c r="HJ16" i="12" l="1"/>
  <c r="HJ28" i="12"/>
  <c r="HL1" i="12"/>
  <c r="HK15" i="12"/>
  <c r="HK27" i="12"/>
  <c r="HK40" i="12"/>
  <c r="HK41" i="12" s="1"/>
  <c r="HK16" i="12" l="1"/>
  <c r="HK28" i="12"/>
  <c r="HM1" i="12"/>
  <c r="HL15" i="12"/>
  <c r="HL27" i="12"/>
  <c r="HL40" i="12"/>
  <c r="HL41" i="12" s="1"/>
  <c r="HL16" i="12" l="1"/>
  <c r="HL28" i="12"/>
  <c r="HN1" i="12"/>
  <c r="HM15" i="12"/>
  <c r="HM27" i="12"/>
  <c r="HM40" i="12"/>
  <c r="HM41" i="12" s="1"/>
  <c r="HM16" i="12" l="1"/>
  <c r="HM28" i="12"/>
  <c r="HO1" i="12"/>
  <c r="HN15" i="12"/>
  <c r="HN27" i="12"/>
  <c r="HN40" i="12"/>
  <c r="HN41" i="12" s="1"/>
  <c r="HN16" i="12" l="1"/>
  <c r="HN28" i="12"/>
  <c r="HP1" i="12"/>
  <c r="HO15" i="12"/>
  <c r="HO27" i="12"/>
  <c r="HO40" i="12"/>
  <c r="HO41" i="12" s="1"/>
  <c r="HO16" i="12" l="1"/>
  <c r="HO28" i="12"/>
  <c r="HQ1" i="12"/>
  <c r="HP15" i="12"/>
  <c r="HP27" i="12"/>
  <c r="HP40" i="12"/>
  <c r="HP41" i="12" s="1"/>
  <c r="HP16" i="12" l="1"/>
  <c r="HP28" i="12"/>
  <c r="HR1" i="12"/>
  <c r="HQ15" i="12"/>
  <c r="HQ27" i="12"/>
  <c r="HQ40" i="12"/>
  <c r="HQ41" i="12" s="1"/>
  <c r="HQ16" i="12" l="1"/>
  <c r="HQ28" i="12"/>
  <c r="HS1" i="12"/>
  <c r="HR15" i="12"/>
  <c r="HR27" i="12"/>
  <c r="HR40" i="12"/>
  <c r="HR41" i="12" s="1"/>
  <c r="HR16" i="12" l="1"/>
  <c r="HR28" i="12"/>
  <c r="HT1" i="12"/>
  <c r="HS15" i="12"/>
  <c r="HS27" i="12"/>
  <c r="HS40" i="12"/>
  <c r="HS41" i="12" s="1"/>
  <c r="HS16" i="12" l="1"/>
  <c r="HS28" i="12"/>
  <c r="HU1" i="12"/>
  <c r="HT15" i="12"/>
  <c r="HT27" i="12"/>
  <c r="HT40" i="12"/>
  <c r="HT41" i="12" s="1"/>
  <c r="HT16" i="12" l="1"/>
  <c r="HT28" i="12"/>
  <c r="HV1" i="12"/>
  <c r="HU15" i="12"/>
  <c r="HU27" i="12"/>
  <c r="HU40" i="12"/>
  <c r="HU41" i="12" s="1"/>
  <c r="HU16" i="12" l="1"/>
  <c r="HU28" i="12"/>
  <c r="HW1" i="12"/>
  <c r="HV15" i="12"/>
  <c r="HV27" i="12"/>
  <c r="HV40" i="12"/>
  <c r="HV41" i="12" s="1"/>
  <c r="HV16" i="12" l="1"/>
  <c r="HV28" i="12"/>
  <c r="HX1" i="12"/>
  <c r="HW15" i="12"/>
  <c r="HW27" i="12"/>
  <c r="HW40" i="12"/>
  <c r="HW41" i="12" s="1"/>
  <c r="HW16" i="12" l="1"/>
  <c r="HW28" i="12"/>
  <c r="HY1" i="12"/>
  <c r="HX15" i="12"/>
  <c r="HX27" i="12"/>
  <c r="HX40" i="12"/>
  <c r="HX41" i="12" s="1"/>
  <c r="HX16" i="12" l="1"/>
  <c r="HX28" i="12"/>
  <c r="HZ1" i="12"/>
  <c r="HY15" i="12"/>
  <c r="HY27" i="12"/>
  <c r="HY40" i="12"/>
  <c r="HY41" i="12" s="1"/>
  <c r="HY16" i="12" l="1"/>
  <c r="HY28" i="12"/>
  <c r="IA1" i="12"/>
  <c r="HZ15" i="12"/>
  <c r="HZ27" i="12"/>
  <c r="HZ40" i="12"/>
  <c r="HZ41" i="12" s="1"/>
  <c r="HZ16" i="12" l="1"/>
  <c r="HZ28" i="12"/>
  <c r="IB1" i="12"/>
  <c r="IA15" i="12"/>
  <c r="IA27" i="12"/>
  <c r="IA40" i="12"/>
  <c r="IA41" i="12" s="1"/>
  <c r="IA16" i="12" l="1"/>
  <c r="IA28" i="12"/>
  <c r="IC1" i="12"/>
  <c r="IB15" i="12"/>
  <c r="IB27" i="12"/>
  <c r="IB40" i="12"/>
  <c r="IB41" i="12" s="1"/>
  <c r="IB16" i="12" l="1"/>
  <c r="IB28" i="12"/>
  <c r="ID1" i="12"/>
  <c r="IC15" i="12"/>
  <c r="IC27" i="12"/>
  <c r="IC40" i="12"/>
  <c r="IC41" i="12" s="1"/>
  <c r="IC16" i="12" l="1"/>
  <c r="IC28" i="12"/>
  <c r="IE1" i="12"/>
  <c r="ID15" i="12"/>
  <c r="ID27" i="12"/>
  <c r="ID40" i="12"/>
  <c r="ID41" i="12" s="1"/>
  <c r="ID16" i="12" l="1"/>
  <c r="ID28" i="12"/>
  <c r="IF1" i="12"/>
  <c r="IE15" i="12"/>
  <c r="IE27" i="12"/>
  <c r="IE40" i="12"/>
  <c r="IE41" i="12" s="1"/>
  <c r="IE16" i="12" l="1"/>
  <c r="IE28" i="12"/>
  <c r="IG1" i="12"/>
  <c r="IF15" i="12"/>
  <c r="IF27" i="12"/>
  <c r="IF40" i="12"/>
  <c r="IF41" i="12" s="1"/>
  <c r="IF16" i="12" l="1"/>
  <c r="IF28" i="12"/>
  <c r="IG15" i="12"/>
  <c r="IG27" i="12"/>
  <c r="IG40" i="12"/>
  <c r="IG41" i="12" s="1"/>
  <c r="IG28" i="12" l="1"/>
  <c r="B32" i="12" s="1"/>
  <c r="C32" i="12" s="1"/>
  <c r="IG16" i="12"/>
  <c r="B20" i="12" s="1"/>
  <c r="B76" i="4" s="1"/>
  <c r="C45" i="12"/>
  <c r="B45" i="12"/>
  <c r="C76" i="4" s="1"/>
  <c r="C20" i="12" l="1"/>
</calcChain>
</file>

<file path=xl/comments1.xml><?xml version="1.0" encoding="utf-8"?>
<comments xmlns="http://schemas.openxmlformats.org/spreadsheetml/2006/main">
  <authors>
    <author>Автор</author>
  </authors>
  <commentList>
    <comment ref="A1" authorId="0">
      <text>
        <r>
          <rPr>
            <sz val="9"/>
            <color indexed="81"/>
            <rFont val="Tahoma"/>
            <family val="2"/>
            <charset val="204"/>
          </rPr>
          <t>В рамках Державної програми компенсації тіла кредиту відповідно до Постанови КМУ від 08.04.2015 №231</t>
        </r>
      </text>
    </comment>
    <comment ref="A41" authorId="0">
      <text>
        <r>
          <rPr>
            <sz val="9"/>
            <color indexed="81"/>
            <rFont val="Tahoma"/>
            <family val="2"/>
            <charset val="204"/>
          </rPr>
          <t xml:space="preserve">40 відсотків суми кредиту на вартість </t>
        </r>
        <r>
          <rPr>
            <b/>
            <sz val="9"/>
            <color indexed="81"/>
            <rFont val="Tahoma"/>
            <family val="2"/>
            <charset val="204"/>
          </rPr>
          <t>обладнання та матеріалів</t>
        </r>
        <r>
          <rPr>
            <sz val="9"/>
            <color indexed="81"/>
            <rFont val="Tahoma"/>
            <family val="2"/>
            <charset val="204"/>
          </rPr>
          <t>, але не більш як 10000 гривень в розрахунку на одну квартиру багатоквартирного будинку за одним кредитним договором</t>
        </r>
      </text>
    </comment>
  </commentList>
</comments>
</file>

<file path=xl/comments2.xml><?xml version="1.0" encoding="utf-8"?>
<comments xmlns="http://schemas.openxmlformats.org/spreadsheetml/2006/main">
  <authors>
    <author>-</author>
  </authors>
  <commentList>
    <comment ref="A30" authorId="0">
      <text>
        <r>
          <rPr>
            <b/>
            <sz val="9"/>
            <color indexed="81"/>
            <rFont val="Tahoma"/>
            <family val="2"/>
            <charset val="204"/>
          </rPr>
          <t>Для перевірки - http://www.oschadbank.ua/ua/private/loans/loanCalculator/</t>
        </r>
      </text>
    </comment>
  </commentList>
</comments>
</file>

<file path=xl/comments3.xml><?xml version="1.0" encoding="utf-8"?>
<comments xmlns="http://schemas.openxmlformats.org/spreadsheetml/2006/main">
  <authors>
    <author>-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3 місяці - відтермінування виплати кредиту.</t>
        </r>
      </text>
    </comment>
  </commentList>
</comments>
</file>

<file path=xl/comments4.xml><?xml version="1.0" encoding="utf-8"?>
<comments xmlns="http://schemas.openxmlformats.org/spreadsheetml/2006/main">
  <authors>
    <author>-</author>
  </authors>
  <commentList>
    <comment ref="E2" authorId="0">
      <text>
        <r>
          <rPr>
            <b/>
            <sz val="9"/>
            <color indexed="81"/>
            <rFont val="Tahoma"/>
            <family val="2"/>
            <charset val="204"/>
          </rPr>
          <t>Приведено до 6 місяців опалювального періоду для порівння - фактичні платежі будуть вдвічі меншими, але сплачуватимуться протягом всього року.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-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- 515,63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- 511,79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- 509,36</t>
        </r>
      </text>
    </comment>
    <comment ref="C75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- 499,35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- 556,46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6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- 572,00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7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- 532,92</t>
        </r>
      </text>
    </comment>
    <comment ref="C141" authorId="0">
      <text>
        <r>
          <rPr>
            <b/>
            <sz val="9"/>
            <color indexed="81"/>
            <rFont val="Tahoma"/>
            <family val="2"/>
            <charset val="204"/>
          </rPr>
          <t>тариф без врахування умовно-постійної частини тарифу - 609,78</t>
        </r>
      </text>
    </comment>
  </commentList>
</comments>
</file>

<file path=xl/sharedStrings.xml><?xml version="1.0" encoding="utf-8"?>
<sst xmlns="http://schemas.openxmlformats.org/spreadsheetml/2006/main" count="885" uniqueCount="616">
  <si>
    <t>$/м2</t>
  </si>
  <si>
    <t>Усереднена ціна 1 м2 Вашої квартири після модернізації</t>
  </si>
  <si>
    <t>Усереднена ціна 1 м2 Вашої квартири до модернізації</t>
  </si>
  <si>
    <t>грн./місяць</t>
  </si>
  <si>
    <t>Квитанція на оплату ЖКХ після модернізації</t>
  </si>
  <si>
    <t>Квитанція на оплату ЖКХ до модернізації</t>
  </si>
  <si>
    <t>грн.</t>
  </si>
  <si>
    <t>Вартість на одну квартиру</t>
  </si>
  <si>
    <t>грн./рік</t>
  </si>
  <si>
    <t>Зменшення грошових виплат за ПЕР/рік</t>
  </si>
  <si>
    <t>Необхідні кредитні кошти</t>
  </si>
  <si>
    <t>2. Підвищення комфорту вдомі та естетичного вигляду</t>
  </si>
  <si>
    <t xml:space="preserve">  --&gt;</t>
  </si>
  <si>
    <t>3кім</t>
  </si>
  <si>
    <t>2кім</t>
  </si>
  <si>
    <t>1кім</t>
  </si>
  <si>
    <t>Після модернізації</t>
  </si>
  <si>
    <t>До модернізації</t>
  </si>
  <si>
    <t>Типова квартира</t>
  </si>
  <si>
    <t>1. Збільшення вартості квартири</t>
  </si>
  <si>
    <t>Додаткові вигоди від термомодернізації</t>
  </si>
  <si>
    <t>років</t>
  </si>
  <si>
    <t>Дисконтований термін окупності</t>
  </si>
  <si>
    <t>Простий термін окупності</t>
  </si>
  <si>
    <t>грн/м2</t>
  </si>
  <si>
    <t>після модернізації з урахуванням виплати кредиту</t>
  </si>
  <si>
    <t>після модернізації</t>
  </si>
  <si>
    <t>до модернізації</t>
  </si>
  <si>
    <t>Квитанція на оплату за теплову енергію, м2</t>
  </si>
  <si>
    <t>Витрати сімейного бюджету</t>
  </si>
  <si>
    <t>грн./міс</t>
  </si>
  <si>
    <t xml:space="preserve">Економія на дім </t>
  </si>
  <si>
    <t>Економія на 1 квартиру</t>
  </si>
  <si>
    <t>Економія на 1 м2</t>
  </si>
  <si>
    <t>Середньомісячна економія оплати за тепло після модернізації</t>
  </si>
  <si>
    <t>На 1 квартиру</t>
  </si>
  <si>
    <t>1 м2 житла</t>
  </si>
  <si>
    <t>Платіж  по кредиту з розрахунку на</t>
  </si>
  <si>
    <t>Платіж  по кредиту, в т.ч.:</t>
  </si>
  <si>
    <t>Вибір банку для кредитування</t>
  </si>
  <si>
    <t>міс.</t>
  </si>
  <si>
    <t>Строк кредиту</t>
  </si>
  <si>
    <t>в. т.ч. роботи</t>
  </si>
  <si>
    <t>в т.ч. матеріали</t>
  </si>
  <si>
    <t>Сума кредиту</t>
  </si>
  <si>
    <t>Одноразова державна компенсація, 40%</t>
  </si>
  <si>
    <t>Участь власними коштами</t>
  </si>
  <si>
    <t>Вартість проектної документації</t>
  </si>
  <si>
    <t>Вартість робіт</t>
  </si>
  <si>
    <t>Вартість матеріалів</t>
  </si>
  <si>
    <t>Загальна вартість проекту</t>
  </si>
  <si>
    <t>Результати розрахунків</t>
  </si>
  <si>
    <t>Модернізація системи освітлення</t>
  </si>
  <si>
    <t>Теплоізоляції горищ</t>
  </si>
  <si>
    <t>Теплоізоляції підвальних приміщень</t>
  </si>
  <si>
    <t>Теплоізоляції зовнішніх стін</t>
  </si>
  <si>
    <t>Заміна вікон (під’їздів, підвалів, технічних приміщень, горищ)</t>
  </si>
  <si>
    <t>Встановлення вузлів обліку води (гарячої, холодної)</t>
  </si>
  <si>
    <t xml:space="preserve">Регулятори теплового потоку за погодними умовами </t>
  </si>
  <si>
    <t>Облаштування ІТП</t>
  </si>
  <si>
    <t>Проведення енергоаудиту</t>
  </si>
  <si>
    <t>Вартість робіт, грн.</t>
  </si>
  <si>
    <t>Обладнання, матеріали грн.</t>
  </si>
  <si>
    <t>Вибір</t>
  </si>
  <si>
    <t>Енергоефективний захід</t>
  </si>
  <si>
    <t>Вибір енергоефективних заходів для термомодернізації будинку</t>
  </si>
  <si>
    <t>Введіть тариф на централізоване опалення</t>
  </si>
  <si>
    <t>шт.</t>
  </si>
  <si>
    <t>Введіть кількість квартир Вашого будинку</t>
  </si>
  <si>
    <t>м</t>
  </si>
  <si>
    <t>Введіть периметр Вашого будинку</t>
  </si>
  <si>
    <t>пов.</t>
  </si>
  <si>
    <t>Введіть кількість поверхів Вашого будинку</t>
  </si>
  <si>
    <t>м2</t>
  </si>
  <si>
    <t>Введіть опалювальну площу Вашого дому</t>
  </si>
  <si>
    <t>Матеріал стін</t>
  </si>
  <si>
    <t>Висота стелі</t>
  </si>
  <si>
    <t>Кількість поверхів</t>
  </si>
  <si>
    <t>Період забудови</t>
  </si>
  <si>
    <t>Виберіть тип Вашого будинку</t>
  </si>
  <si>
    <t>Виберіть Вашу область</t>
  </si>
  <si>
    <t>Введення даних із характеристиками будинку</t>
  </si>
  <si>
    <t>*Жовтим кольором виділені поля для введення даних</t>
  </si>
  <si>
    <t>Калькулятор для розрахунку вартості та економії від модернізації багатоквартирного будинку із залученням кредиту для ОСББ</t>
  </si>
  <si>
    <t>Інвестиції (450)</t>
  </si>
  <si>
    <t>Площа</t>
  </si>
  <si>
    <t>Горище</t>
  </si>
  <si>
    <t>Підвал</t>
  </si>
  <si>
    <t>Інвестиції (600)</t>
  </si>
  <si>
    <t>Площа усіх стін</t>
  </si>
  <si>
    <t>Тіло кредиту</t>
  </si>
  <si>
    <t>Периметр будівлі</t>
  </si>
  <si>
    <t>грн</t>
  </si>
  <si>
    <t>Стіни</t>
  </si>
  <si>
    <t>Сума по кредиту</t>
  </si>
  <si>
    <t>Інвестиції (2000)</t>
  </si>
  <si>
    <t>Електрика</t>
  </si>
  <si>
    <t>Збереження</t>
  </si>
  <si>
    <t>1 місяць</t>
  </si>
  <si>
    <t>Сума</t>
  </si>
  <si>
    <t>Вода</t>
  </si>
  <si>
    <t>Вікна</t>
  </si>
  <si>
    <t>Опалення</t>
  </si>
  <si>
    <t>Витрати на одну квартирудо після модернізації</t>
  </si>
  <si>
    <t>Термін окупності</t>
  </si>
  <si>
    <t>Інвестиції (1120грн/шт)</t>
  </si>
  <si>
    <t>Економія</t>
  </si>
  <si>
    <t>Сплата за рік</t>
  </si>
  <si>
    <t>Тариф (40грн/1м3)</t>
  </si>
  <si>
    <t>Споживання гарячої води, л/добу</t>
  </si>
  <si>
    <t>Витрати на одну квартирудо модернізації</t>
  </si>
  <si>
    <t>Гаряча вода</t>
  </si>
  <si>
    <t>Проектні роботи</t>
  </si>
  <si>
    <t>Різниця</t>
  </si>
  <si>
    <t>Сплата за електроенергію</t>
  </si>
  <si>
    <t>Новий тариф</t>
  </si>
  <si>
    <t>Нова споживана потужність</t>
  </si>
  <si>
    <t>Заміна лампочок вартість</t>
  </si>
  <si>
    <t>Кількість лампочок</t>
  </si>
  <si>
    <t>Тариф на електроенергію</t>
  </si>
  <si>
    <t>Споживана потужність</t>
  </si>
  <si>
    <t>Час роботи (4год - день)</t>
  </si>
  <si>
    <t>Електро</t>
  </si>
  <si>
    <t>Потужність встановлена, кВт</t>
  </si>
  <si>
    <t>Тепло</t>
  </si>
  <si>
    <t>Площа, м2</t>
  </si>
  <si>
    <t>Гроші</t>
  </si>
  <si>
    <t>Інвестиції, роботи</t>
  </si>
  <si>
    <t>Інвестиції, матеріали</t>
  </si>
  <si>
    <t>Інвестиції заходи</t>
  </si>
  <si>
    <t>Освітлення</t>
  </si>
  <si>
    <t>Sum</t>
  </si>
  <si>
    <t>-</t>
  </si>
  <si>
    <t>Для квартир, збільшення ціни</t>
  </si>
  <si>
    <t>Вода, холодна</t>
  </si>
  <si>
    <t>Вода, гаряча</t>
  </si>
  <si>
    <t>Електроенергія</t>
  </si>
  <si>
    <t>Сума тепло</t>
  </si>
  <si>
    <t>ТАК/НІ</t>
  </si>
  <si>
    <t>Збереження,%</t>
  </si>
  <si>
    <t>Заходи з енергозбереження</t>
  </si>
  <si>
    <t>Ощадбанк</t>
  </si>
  <si>
    <t>2,65 і більше</t>
  </si>
  <si>
    <t>Цегла</t>
  </si>
  <si>
    <t>2…28</t>
  </si>
  <si>
    <t>після 1992</t>
  </si>
  <si>
    <t>Українська цегляна кладка</t>
  </si>
  <si>
    <t>2,65м-2,75м</t>
  </si>
  <si>
    <t>Залізобетонна панель</t>
  </si>
  <si>
    <t>9…26</t>
  </si>
  <si>
    <t>після 1991</t>
  </si>
  <si>
    <t>Українська панелька</t>
  </si>
  <si>
    <t>4…20</t>
  </si>
  <si>
    <t>до 1991</t>
  </si>
  <si>
    <t>Покращена цегляна кладка</t>
  </si>
  <si>
    <t>2,50м-2,55м</t>
  </si>
  <si>
    <t>2…14</t>
  </si>
  <si>
    <t>середина 50-х кінець 80-х</t>
  </si>
  <si>
    <t>Стара цегляна кладка</t>
  </si>
  <si>
    <t>9…22</t>
  </si>
  <si>
    <t>70-ті - 80-ті</t>
  </si>
  <si>
    <t>Покращена панелька</t>
  </si>
  <si>
    <t>9…16</t>
  </si>
  <si>
    <t>Звичайна панелька</t>
  </si>
  <si>
    <t>3…12</t>
  </si>
  <si>
    <t>середина 50-ч - кінець 80-х</t>
  </si>
  <si>
    <t>Стара панелька</t>
  </si>
  <si>
    <t>3м-4м</t>
  </si>
  <si>
    <t>2…13</t>
  </si>
  <si>
    <t>20-ті - середина 50-х</t>
  </si>
  <si>
    <t>Сталінка</t>
  </si>
  <si>
    <t>3,2м-4,5м</t>
  </si>
  <si>
    <t>1…8</t>
  </si>
  <si>
    <t>до 1917</t>
  </si>
  <si>
    <t>Дореволюційний</t>
  </si>
  <si>
    <t>Середня висота</t>
  </si>
  <si>
    <t>Висота стелі,м</t>
  </si>
  <si>
    <t>Тип будинку</t>
  </si>
  <si>
    <t>Банк, 3%, 25% річних</t>
  </si>
  <si>
    <t>Кредит</t>
  </si>
  <si>
    <t>Кредитні кошти</t>
  </si>
  <si>
    <t>Власні кошти</t>
  </si>
  <si>
    <t>Ставка кредиту, 25% - три місяці</t>
  </si>
  <si>
    <t>Банк, 3%</t>
  </si>
  <si>
    <t>Вартість котла</t>
  </si>
  <si>
    <t>Тип фінансування</t>
  </si>
  <si>
    <t>Після модерн</t>
  </si>
  <si>
    <t>Витрати на квартиру</t>
  </si>
  <si>
    <t>економія на 1 квар</t>
  </si>
  <si>
    <t>економія на 1 м2</t>
  </si>
  <si>
    <t>Економія в місяць</t>
  </si>
  <si>
    <t>Приблизна висота</t>
  </si>
  <si>
    <t>Норма витрати теплоти для будівель, Гкал/м2</t>
  </si>
  <si>
    <t>Економія грошей</t>
  </si>
  <si>
    <t>Після заміни</t>
  </si>
  <si>
    <t>Затрати на опалення</t>
  </si>
  <si>
    <t>Централ</t>
  </si>
  <si>
    <t>Сума, грн/сезон</t>
  </si>
  <si>
    <t>Гроші, грн/сезон</t>
  </si>
  <si>
    <t>Тариф</t>
  </si>
  <si>
    <t>Гкал/сезон</t>
  </si>
  <si>
    <t>Опалення за сезон, кВтгод/сезон</t>
  </si>
  <si>
    <t>Середня потужність котла, кВт</t>
  </si>
  <si>
    <t>Затрати на опалення, грн</t>
  </si>
  <si>
    <t>http://agent.ua/statistics/</t>
  </si>
  <si>
    <t>Чернігівська область</t>
  </si>
  <si>
    <t>Чернівецька область</t>
  </si>
  <si>
    <t>Черкаська область</t>
  </si>
  <si>
    <t>Хмельницька область</t>
  </si>
  <si>
    <t>Херсонська область</t>
  </si>
  <si>
    <t>Харківська область</t>
  </si>
  <si>
    <t>Тернопільська область</t>
  </si>
  <si>
    <t>Сумська область</t>
  </si>
  <si>
    <t>Рівненська область</t>
  </si>
  <si>
    <t>Полтавська область</t>
  </si>
  <si>
    <t>Одеська область</t>
  </si>
  <si>
    <t>Миколаївська область</t>
  </si>
  <si>
    <t>Львівська область</t>
  </si>
  <si>
    <t>Луганська область</t>
  </si>
  <si>
    <t>Кіровоградська область</t>
  </si>
  <si>
    <t>Київська область</t>
  </si>
  <si>
    <t>м. Київ</t>
  </si>
  <si>
    <t>Івано Франківська область</t>
  </si>
  <si>
    <t>Запорізька область</t>
  </si>
  <si>
    <t>Закарпатська область</t>
  </si>
  <si>
    <t>Житомирська область</t>
  </si>
  <si>
    <t>Донецька область</t>
  </si>
  <si>
    <t>Дніпропетровська область</t>
  </si>
  <si>
    <t>Волинська область</t>
  </si>
  <si>
    <t>Вінницька область</t>
  </si>
  <si>
    <t>Республіка Крим</t>
  </si>
  <si>
    <t>Ціна за м2 житла</t>
  </si>
  <si>
    <t>опалювальний період, діб,</t>
  </si>
  <si>
    <t>tco</t>
  </si>
  <si>
    <t>tpo</t>
  </si>
  <si>
    <t xml:space="preserve">Найменування областей </t>
  </si>
  <si>
    <t>грн/кВтгод</t>
  </si>
  <si>
    <t>за обсяг, спожитий понад 3600 кВт∙год електроенергії на місяць</t>
  </si>
  <si>
    <t>за обсяг, спожитий до 3600 кВт∙год електроенергії на місяць (включно)</t>
  </si>
  <si>
    <t>У період з 01 жовтня 2015 року по 29 лютого 2016 року (включно):</t>
  </si>
  <si>
    <t>Населенню, яке проживає в багатоквартирних будинках, не газифікованих природним газом і в яких відсутні або не функціонують системи централізованого теплопостачання (у тому числі в сільській місцевості):</t>
  </si>
  <si>
    <t>"1.4"</t>
  </si>
  <si>
    <t>Населенню, яке проживає в житлових будинках (у тому числі в житлових будинках готельного типу, квартирах та гуртожитках), обладнаних у встановленому порядку електроопалювальними установками (у тому числі в сільській місцевості):</t>
  </si>
  <si>
    <t>"1.3"</t>
  </si>
  <si>
    <t>На електроенергію, що відпускається населенню, на період з 01 вересня 2015 року по 29 лютого 2016 року включно</t>
  </si>
  <si>
    <t>грн/м3</t>
  </si>
  <si>
    <t>за обсяг, спожитий понад 200 м3 за місяць</t>
  </si>
  <si>
    <t>за обсяг, спожитий до 200 м3 за місяць</t>
  </si>
  <si>
    <t>у період з 01 жовтня по 30 квітня (включно):</t>
  </si>
  <si>
    <t>Тарифи на газ</t>
  </si>
  <si>
    <t>Дисконт</t>
  </si>
  <si>
    <t>Внутренняя норма доходности (IRR), %</t>
  </si>
  <si>
    <t>Дисконтований термін окупності (DPP), роки</t>
  </si>
  <si>
    <t>Простий термін окупності, роки</t>
  </si>
  <si>
    <t>PI, роки</t>
  </si>
  <si>
    <t>df45jiH64BY832</t>
  </si>
  <si>
    <t>NPV / NPVQ (за 20 років), тис.грн.</t>
  </si>
  <si>
    <t>NPV / NPVQ (за 15 років), тис.грн.</t>
  </si>
  <si>
    <t>NPV / NPVQ (за 10 років), тис.грн.</t>
  </si>
  <si>
    <t>NPV / NPVQ (за 5 років), тис.грн.</t>
  </si>
  <si>
    <t>Інвестиційний капітал (IC), тис.грн.</t>
  </si>
  <si>
    <t>Вартість капіталу (WACC), %</t>
  </si>
  <si>
    <t>Значення</t>
  </si>
  <si>
    <t>Показник</t>
  </si>
  <si>
    <t>Показники фінансової ефективності</t>
  </si>
  <si>
    <t>Discount IC, тыс. $</t>
  </si>
  <si>
    <t>DCF without IC, тыс. $</t>
  </si>
  <si>
    <t>Для розрахунку індекса прибутковості</t>
  </si>
  <si>
    <t>Для розрахунку періоду окупності</t>
  </si>
  <si>
    <t>Накопичуваний дисконтований грошовий потік, тис.грн.</t>
  </si>
  <si>
    <t>Чистий дисконтований грошовий потік, тис.грн.</t>
  </si>
  <si>
    <t>Чистий грошовий потік, тис.грн.</t>
  </si>
  <si>
    <t>Амортизація, тис.грн.</t>
  </si>
  <si>
    <t>Чистий прибуток (Net Income), тис.грн.</t>
  </si>
  <si>
    <t>Податок на прибуток, тис.грн.</t>
  </si>
  <si>
    <t>Чистий прибуток до податків (EBT), тис.грн.</t>
  </si>
  <si>
    <t>Чистий прибуток до амортизації, процентів та податку на прибуток (EBITDA), тис.грн.</t>
  </si>
  <si>
    <t>Додаткові витрати повязані з експлуатацією/плановою заміною, тис.грн.</t>
  </si>
  <si>
    <t xml:space="preserve"> - економія за рахунок альтернативних джерел, тис.грн.</t>
  </si>
  <si>
    <t xml:space="preserve"> - економія Е/Е, тис.грн.</t>
  </si>
  <si>
    <t xml:space="preserve"> - еклномія ТЕ, тис.грн.</t>
  </si>
  <si>
    <t>Всього економія ПЕР, тис.грн.</t>
  </si>
  <si>
    <t>Інвестиції, тис.грн.</t>
  </si>
  <si>
    <t>Рік (Проектний)</t>
  </si>
  <si>
    <t>Рік (Календарний)</t>
  </si>
  <si>
    <t>Коефіцієнт диконтування</t>
  </si>
  <si>
    <t>Коеф. зрост. тарифу на Е/Е</t>
  </si>
  <si>
    <t>Процент зрост. тарифу на Е/Е</t>
  </si>
  <si>
    <t>Коеф. зростя тарифу на ТЕ</t>
  </si>
  <si>
    <t>Процент зростя тарифу на ТЕ</t>
  </si>
  <si>
    <t>Податок на прибуток</t>
  </si>
  <si>
    <t>Діючий тариф на Е/Е, грн/кВт·год</t>
  </si>
  <si>
    <t>Коефіцієнт дисконтування</t>
  </si>
  <si>
    <t>Діючий тариф на ТЕ,грн/Гкал</t>
  </si>
  <si>
    <t>Період амортизації (термін служби), роки</t>
  </si>
  <si>
    <t>Без державної підтримки</t>
  </si>
  <si>
    <t>грн за Гкал</t>
  </si>
  <si>
    <t>Ваш тариф</t>
  </si>
  <si>
    <t>ПАТ "Київенерго"</t>
  </si>
  <si>
    <t>Оберіть компанію, яка надає послуги з централізованого опалення</t>
  </si>
  <si>
    <t>Київ</t>
  </si>
  <si>
    <t>Оберіть регіон</t>
  </si>
  <si>
    <t>Обсяг щомісячних виплат по кредиту, грн</t>
  </si>
  <si>
    <t>Обсяг кредиту до погашення (за винятком компенсації з державного бюджету), грн</t>
  </si>
  <si>
    <t>Разова комісія, %</t>
  </si>
  <si>
    <t>Термін кредитування, років</t>
  </si>
  <si>
    <t>Вартість обладнання та матеріалів, грн</t>
  </si>
  <si>
    <t>Опалювальна площа, м2</t>
  </si>
  <si>
    <t>Дисконтований період окупності, років / місяців</t>
  </si>
  <si>
    <t>Простий період окупності, років / місяців</t>
  </si>
  <si>
    <t>IRR (20 років)</t>
  </si>
  <si>
    <t>ЧПВ (20 років)</t>
  </si>
  <si>
    <t>Дисконтована агрегована різниця в платежах при проведенні термомодернізації, грн</t>
  </si>
  <si>
    <t>Дисконтована загальна різниця в платежах при проведенні термомодернізації, грн</t>
  </si>
  <si>
    <t>Агрегована різниця в платежах при проведенні термомодернізації, грн</t>
  </si>
  <si>
    <t>Загальна різниця в платежах при проведенні термомодернізації, грн</t>
  </si>
  <si>
    <t>Загальні платежі при проведенні термомодернізації, грн</t>
  </si>
  <si>
    <t>Виплата кредиту без державної підтримки, грн</t>
  </si>
  <si>
    <t>Дисконтована агрегована різниця в платежах при проведенні термомодернізації за державною програмою за умови відшкодування частини відсотків за кредитом місцевими бюджетами, грн</t>
  </si>
  <si>
    <t>Дисконтована загальна різниця в платежах при проведенні термомодернізації за державною програмою за умови відшкодування частини відсотків за кредитом місцевими бюджетами, грн</t>
  </si>
  <si>
    <t>Агрегована різниця в платежах при проведенні термомодернізації за державною програмою за умови відшкодування частини відсотків за кредитом місцевими бюджетами, грн</t>
  </si>
  <si>
    <t>Загальна різниця в платежах при проведенні термомодернізації за державною програмою за умови відшкодування частини відсотків за кредитом місцевими бюджетами, грн</t>
  </si>
  <si>
    <t>Загальні платежі при проведенні термомодернізації за державною програмою за умови відшкодування частини відсотків за кредитом місцевими бюджетами, грн</t>
  </si>
  <si>
    <t>Витрати місцевих бюджетів на компенсацію частини відсотків за кредитом, грн</t>
  </si>
  <si>
    <t>Виплата кредиту за умови відшкодування частини відсотків за кредитом місцевими бюджетами, грн</t>
  </si>
  <si>
    <t>Дисконтована агрегована різниця в платежах між базовим та проектним сценарієм, грн</t>
  </si>
  <si>
    <t>Дисконтована загальна різниця в платежах між базовим та проектним сценарієм, грн</t>
  </si>
  <si>
    <t>Агрегована різниця в платежах між базовим та проектним сценарієм, грн</t>
  </si>
  <si>
    <t>Загальна різниця в платежах між базовим та проектним сценарієм, грн</t>
  </si>
  <si>
    <t>Загальні платежі при проведенні термомодернізації за державною програмою (проектний сценарій), грн</t>
  </si>
  <si>
    <t>Економія у платежах на опалення, грн</t>
  </si>
  <si>
    <t>Плата за опалення після термомодернізації, грн</t>
  </si>
  <si>
    <t>Плата за опалення без термомодернізації (базовий сценарій), грн</t>
  </si>
  <si>
    <t>Тривалість опалювального періоду, днів</t>
  </si>
  <si>
    <t>Виплата кредиту, грн</t>
  </si>
  <si>
    <t>Загальні початкові вкладення ОСББ, грн</t>
  </si>
  <si>
    <t>Разова комісія банку, грн</t>
  </si>
  <si>
    <t>Власний внесок ОСББ на термомодернізацію, грн</t>
  </si>
  <si>
    <t>Питоме споживання теплової енергії на опалення після термодернізації, Гкал на м2 за рік</t>
  </si>
  <si>
    <t>Питоме споживання теплової енергії на опалення до термодернізації, Гкал на м2 за рік</t>
  </si>
  <si>
    <t>Питоме споживання теплової енергії на опалення після термодернізації, кВт год на м2 за рік</t>
  </si>
  <si>
    <t>Питоме споживання теплової енергії на опалення до термодернізації, кВт год на м2 за рік</t>
  </si>
  <si>
    <t>Кількість квартир</t>
  </si>
  <si>
    <t>Додаткові дані</t>
  </si>
  <si>
    <t>Розмір депозиту для забезпечення, грн</t>
  </si>
  <si>
    <t>Відстрочення погашення тіла кредиту, місяці</t>
  </si>
  <si>
    <t>Обсяг щомісячних виплат по кредиту без державної компенсації, грн</t>
  </si>
  <si>
    <t>Обсяг щомісячних виплат по кредиту за умови відшкодування частини відсотків за кредитом місцевими бюджетами, грн</t>
  </si>
  <si>
    <t>Обсяг компенсації вартості обладнання та матеріалів з державного бюджету, грн</t>
  </si>
  <si>
    <t>Обсяг відшкодування з державного бюджету вартості обладнання та матеріалів, %</t>
  </si>
  <si>
    <t>Потенційне відшкодування частини відсотків за кредитом місцевими бюджетами, % кредитної ставки</t>
  </si>
  <si>
    <t>Кредитна ставка, %</t>
  </si>
  <si>
    <t>Разова комісія, грн</t>
  </si>
  <si>
    <t>Максимальний обсяг кредиту, грн</t>
  </si>
  <si>
    <t>Максимальний обсяг кредиту на 1 квартиру, грн</t>
  </si>
  <si>
    <t>Власний внесок, грн</t>
  </si>
  <si>
    <t>Власний внесок, %</t>
  </si>
  <si>
    <t>Загальні інвестиції в термомодернізацію, грн</t>
  </si>
  <si>
    <t>Ставка дисконтування, %</t>
  </si>
  <si>
    <t>Тариф на теплову енергію 2017/2018, грн за Гкал</t>
  </si>
  <si>
    <t>Тариф на теплову енергію 2016/2017, грн за Гкал</t>
  </si>
  <si>
    <t>Тариф на теплову енергію 2015/2016, грн за Гкал</t>
  </si>
  <si>
    <t>Фінансові дані</t>
  </si>
  <si>
    <t>Очікуване споживання теплової енергії після термомодернізації, Гкал</t>
  </si>
  <si>
    <t>Дані про будинок</t>
  </si>
  <si>
    <t>З термомодернізацією</t>
  </si>
  <si>
    <t>Без термомодернізації</t>
  </si>
  <si>
    <t>Проектний сценарій</t>
  </si>
  <si>
    <t>Базовий сценарій</t>
  </si>
  <si>
    <t>Початковий внесок</t>
  </si>
  <si>
    <t>2024/2025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</si>
  <si>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</si>
  <si>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</si>
  <si>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</si>
  <si>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</si>
  <si>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</si>
  <si>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</si>
  <si>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</si>
  <si>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</si>
  <si>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2015/2016</t>
  </si>
  <si>
    <t>Внесок ОСББ та разова комісія, грн</t>
  </si>
  <si>
    <t>Повернення кредиту, грн</t>
  </si>
  <si>
    <t>Приблизні грошові витрати за опалювальний період після модернізації будівель, грн</t>
  </si>
  <si>
    <t>Приблизні грошові витрати за опалювальний період без модернізації будівель, грн</t>
  </si>
  <si>
    <t>Початковий платіж</t>
  </si>
  <si>
    <t>Внесок ОСББ та разова комісія, грн на м2</t>
  </si>
  <si>
    <t>Повернення кредиту, грн на м2 на міс.*</t>
  </si>
  <si>
    <t>Приблизні щомісячні грошові витрати за опалювальний період після модернізації будівель, грн на м2</t>
  </si>
  <si>
    <t>Приблизні щомісячні грошові витрати за опалювальний період без модернізації будівель, грн на м2</t>
  </si>
  <si>
    <t>Укргазбанк</t>
  </si>
  <si>
    <t>Разова комісія</t>
  </si>
  <si>
    <t>Термін кредитування</t>
  </si>
  <si>
    <t>Ставка кредитування</t>
  </si>
  <si>
    <t>ПАТ Центренерго</t>
  </si>
  <si>
    <t>ТОВ фірма "ТехНова" (Чернігівська ТЕЦ)</t>
  </si>
  <si>
    <t>ТОВ "НіжинТеплоМережі"</t>
  </si>
  <si>
    <t>ПАТ "Облтеплокомуненерго"</t>
  </si>
  <si>
    <t>КП "Прилукитепловодопостачання" Прилуцької міської ради Чернігівської області</t>
  </si>
  <si>
    <t>Чернігівська</t>
  </si>
  <si>
    <t>МКП "Чернівцітеплокомуненерго"</t>
  </si>
  <si>
    <t>Чернівецька</t>
  </si>
  <si>
    <t>УКП "Уманьтеплокомуненерго"</t>
  </si>
  <si>
    <t>ТОВ "Смілаенергопромтранс"</t>
  </si>
  <si>
    <t>ТОВ "Сміла Енергоінвест"</t>
  </si>
  <si>
    <t>ПАТ "Черкаське хімволокно"</t>
  </si>
  <si>
    <t>КПТМ "Черкаситеплокомуненерго" Черкаської міської ради</t>
  </si>
  <si>
    <t>Канівське КПТМ</t>
  </si>
  <si>
    <t>ДП "Теплокомуненерго" ПАТ "Монастирищенський ордена Трудового Червоного Прапора машинобудівний завод"</t>
  </si>
  <si>
    <t>Ватутінське комунальне підприємство теплових мереж</t>
  </si>
  <si>
    <t>Черкаська</t>
  </si>
  <si>
    <t>ВП Хмельницька атомна електрична станція НАЕК Енергоатом</t>
  </si>
  <si>
    <t>ТОВ "Шепетівка Енергоінвест"</t>
  </si>
  <si>
    <t>МКП "Хмельницьктеплокомуненерго"</t>
  </si>
  <si>
    <t>КП по експлуатації теплового господарства "Тепловик" Старокостянтинівської міської ради</t>
  </si>
  <si>
    <t>КП "Славутське житлово-комунальне об`єднання"</t>
  </si>
  <si>
    <t>КП "Південно-західні тепломережі"</t>
  </si>
  <si>
    <t>КП "Міськтепловоденергія" (м. Кам'янець-Подільський)</t>
  </si>
  <si>
    <t>Волочиське комунальне підприємство теплових мереж "Тепловик"</t>
  </si>
  <si>
    <t>Хмельницька</t>
  </si>
  <si>
    <t>ПП "Херсонтеплогенерація"</t>
  </si>
  <si>
    <t>ПАТ  "Херсонська теплоелектроцентраль"</t>
  </si>
  <si>
    <t>МКП "Херсонтеплоенерго"</t>
  </si>
  <si>
    <t>КПТМ "Каховтеплокомунерго"</t>
  </si>
  <si>
    <t>Херсонська</t>
  </si>
  <si>
    <t xml:space="preserve">Харківське ОКП "Дирекція розвитку інфраструктури території" </t>
  </si>
  <si>
    <t>ТОВ "Котельні лікарняного комплексу" (м. Харків)</t>
  </si>
  <si>
    <t>ПрАТ  «Теплоенергетичний центр  Роганського промвузла»</t>
  </si>
  <si>
    <t>ПКП "Тепломережі"</t>
  </si>
  <si>
    <t>Красноградське ПТМ</t>
  </si>
  <si>
    <t>КП ТМ Харківського району Харьківської районної державної адміністрації</t>
  </si>
  <si>
    <t>КП БРР "Балаклійські теплові мережі"</t>
  </si>
  <si>
    <t>КП "Чугуївтепло"</t>
  </si>
  <si>
    <t>КП "Харківські теплові мережі"</t>
  </si>
  <si>
    <t>КП "Теплоенерго" Лозівської міської ради Харківської області</t>
  </si>
  <si>
    <t>КП "Тепловодосервіс" Лозівської районної ради</t>
  </si>
  <si>
    <t>Ізюмське КП ТМ</t>
  </si>
  <si>
    <t>Вовчанське підприємство теплових мереж</t>
  </si>
  <si>
    <t>Борівське КП ТМ</t>
  </si>
  <si>
    <t>Харківська</t>
  </si>
  <si>
    <t>КПТМ Тернопільської обласної ради "Тернопільтеплокомуненерго"</t>
  </si>
  <si>
    <t>КПТМ "Тернопільміськтеплокомуненерго"</t>
  </si>
  <si>
    <t>Тернопільська</t>
  </si>
  <si>
    <t>ТОВ "Шосткінське підприємство "Харківенергоремонт"</t>
  </si>
  <si>
    <t>ТОВ "ТЕПЛОВОДОПОСТАЧ"</t>
  </si>
  <si>
    <t>ТОВ "Сумитеплоенерго"</t>
  </si>
  <si>
    <t>ТОВ "Брок-Енергія"</t>
  </si>
  <si>
    <t>ПАТ "Сумське машинобудівне НВО ім. М.В.Фрунзе"</t>
  </si>
  <si>
    <t>КП Білопільської міської ради "Теплосервіс Білопілля"</t>
  </si>
  <si>
    <t>КП "Шосткинський казенний завод  "Імпульс"</t>
  </si>
  <si>
    <t>КП "Теплогарант" (м. Конотоп)</t>
  </si>
  <si>
    <t>КП "Ромникомунтепло"РМР"</t>
  </si>
  <si>
    <t>КП "Глухівський тепловий район"</t>
  </si>
  <si>
    <t>ДП "Конотопський авіаремонтний завод "АВІАКОН"</t>
  </si>
  <si>
    <t>Сумська</t>
  </si>
  <si>
    <t>ТОВ "Рівнетеплоенерго"</t>
  </si>
  <si>
    <t xml:space="preserve">Кузнецовське міське комунальне підприємство </t>
  </si>
  <si>
    <t>КП "Костопількомуненергія"</t>
  </si>
  <si>
    <t xml:space="preserve">КП "Здолбунівкомуненерго" Здолбунівської міської ради </t>
  </si>
  <si>
    <t>КП "Дубнокомуненергія"  Дубенської міської ради</t>
  </si>
  <si>
    <t>Рівненська</t>
  </si>
  <si>
    <t>ПОКВПТГ "Полтаватеплоенерго"</t>
  </si>
  <si>
    <t>ПАТ "Полтаваобленерго" (Кременчуцька ТЕЦ)</t>
  </si>
  <si>
    <t>ОКВПТГ "Миргородтеплоенерго"</t>
  </si>
  <si>
    <t>ОКВПТГ "Лубнитеплоенерго"</t>
  </si>
  <si>
    <t>КПТГ "Гадячтеплоенерго"</t>
  </si>
  <si>
    <t>КП "Теплоенерго" (м. Кременчук)</t>
  </si>
  <si>
    <t>КВП "Комсомольськтеплоенерго"</t>
  </si>
  <si>
    <t>Полтавська</t>
  </si>
  <si>
    <t>ТОВ "Теплодаренерго"</t>
  </si>
  <si>
    <t>КПТМ "Южтеплокомуненерго"</t>
  </si>
  <si>
    <t>КП "Теплопостачання міста Одеси"</t>
  </si>
  <si>
    <t>КП "Іллічівськтеплоенерго"</t>
  </si>
  <si>
    <t>КП "Білгород-Дністровськтеплоенерго"</t>
  </si>
  <si>
    <t>КП  «Теплові мережі Ізмаїлтеплокомуненерго»</t>
  </si>
  <si>
    <t>КВЕП "Котовськтеплокомуненерго"</t>
  </si>
  <si>
    <t>Одеська</t>
  </si>
  <si>
    <t>ПАТ "Миколаївська ТЕЦ"</t>
  </si>
  <si>
    <t>ОКП "Миколаївоблтеплоенерго"</t>
  </si>
  <si>
    <t>КП Первомайської міської ради "Тепло"</t>
  </si>
  <si>
    <t>КП "Теплопостачання та водо-каналізаційне господарство"</t>
  </si>
  <si>
    <t>Миколаївська</t>
  </si>
  <si>
    <t>ТзОВ НВП "Енергія-Новояворівськ"</t>
  </si>
  <si>
    <t>ТзОВ "Енергія-Новий Розділ"</t>
  </si>
  <si>
    <t>ПТМ "Самбіртеплокомуненерго"</t>
  </si>
  <si>
    <t>ЛКП "Залізничнетеплоенерго"</t>
  </si>
  <si>
    <t>ЛКМП "Львівтеплоенерго"</t>
  </si>
  <si>
    <t>КП Сокальської міської ради "Сокальтеплокомуненерго"</t>
  </si>
  <si>
    <t>КП "Червоноградтеплокомуненерго"</t>
  </si>
  <si>
    <t>КП "Трускавецьтепло"</t>
  </si>
  <si>
    <t>КП "Стрийтеплоенерго"</t>
  </si>
  <si>
    <t xml:space="preserve">КП "Жовкватеплоенерго" </t>
  </si>
  <si>
    <t>КП "Бродитеплоенерго"</t>
  </si>
  <si>
    <t>КП "Бориславтеплоенерго"</t>
  </si>
  <si>
    <t>КП  "Дрогобичтеплоенерго" ДМР</t>
  </si>
  <si>
    <t>ДКП "Стебниктеплокомуненерго"</t>
  </si>
  <si>
    <t>Львiвська</t>
  </si>
  <si>
    <t>ТОВ "ДТЕК Ровенькиантрацит"</t>
  </si>
  <si>
    <t>Луганське МКП "Теплокомуненерго"</t>
  </si>
  <si>
    <t>КТП "Алчевськтеплокомуненерго"</t>
  </si>
  <si>
    <t>КСТП "Рубіжнетеплокомуненерго" Рубіжанської міської ради</t>
  </si>
  <si>
    <t>КП "СТП "Ровенькитеплокомуненерго"</t>
  </si>
  <si>
    <t>КП "Сєвєродонецьктеплокомуненерго"</t>
  </si>
  <si>
    <t>КП "Первомайськтеплокомуненерго" Первомайської міської ради</t>
  </si>
  <si>
    <t>КП "Лисичанськтепломережа"</t>
  </si>
  <si>
    <t>ДП "Сєвєродонецька ТЕЦ"</t>
  </si>
  <si>
    <t>АМКП "Теплокомуненерго"</t>
  </si>
  <si>
    <t>Луганська</t>
  </si>
  <si>
    <t>ТОВ "ДОЛИНСЬКІ ОБ'ЄДНАНІ МЕРЕЖІ"</t>
  </si>
  <si>
    <t>СП-ТОВ "Світловодськпобут"</t>
  </si>
  <si>
    <t xml:space="preserve">КП "Теплокомуненерго" Олександрійської міської ради </t>
  </si>
  <si>
    <t>КП "Теплоенергетик"</t>
  </si>
  <si>
    <t>ДП "Кіровоградтепло" ТОВ "Центр науково-технічних іновацій Української нафтогазової академії"</t>
  </si>
  <si>
    <t>Кіровоградська</t>
  </si>
  <si>
    <t>ТОВ "Теплопостачсервіс" (м. Київ)</t>
  </si>
  <si>
    <t>ТОВ "ЄВРО-РЕКОНСТРУКЦІЯ"</t>
  </si>
  <si>
    <t>ПКПП "Теплокомунсервіс" (м. Буча)</t>
  </si>
  <si>
    <t>ПАТ "Енергія"</t>
  </si>
  <si>
    <t>КПТМ "Бориспільтепломережа"</t>
  </si>
  <si>
    <t>КП БМР "Білоцерківтепломережа"</t>
  </si>
  <si>
    <t>КП "Управління житлово-комунального господарства" (м. Славутич)</t>
  </si>
  <si>
    <t>КП "Києво-Святошинська тепломережа" Київської обласної ради</t>
  </si>
  <si>
    <t>КП "Вишнівськтеплоенерго" Вишневої міської ради Києво-Святошинського району Київської області</t>
  </si>
  <si>
    <t>КП "Васильківтепломережа"</t>
  </si>
  <si>
    <t>КП "Броваритепловодоенергія"</t>
  </si>
  <si>
    <t>КП "Боярське ГВУЖКГ Боярської міської ради Києво-Святошинського району Київської області"</t>
  </si>
  <si>
    <t>Вишгородське РКП "Вишгородтепломережа"</t>
  </si>
  <si>
    <t>Київська</t>
  </si>
  <si>
    <t>ТОВ "Станіславська теплоенергетична компанія"</t>
  </si>
  <si>
    <t>КП "Водотеплосервіс" Калуської міської ради</t>
  </si>
  <si>
    <t>ДМП "Івано-Франківськтеплокомуненерго"</t>
  </si>
  <si>
    <t>Івано_Франківська</t>
  </si>
  <si>
    <t>ТОВ "Мелітопольські теплові мережі"</t>
  </si>
  <si>
    <t>ПАТ "Мотор Січ" (м. Запоріжжя)</t>
  </si>
  <si>
    <t>ПАТ "Бердянське підприємство теплових мереж"</t>
  </si>
  <si>
    <t>КП "Токмак теплоенергія" Токмацької міської ради</t>
  </si>
  <si>
    <t xml:space="preserve">КП "Дніпрорудненські теплові мережі" </t>
  </si>
  <si>
    <t>Концерн "Міські теплові мережі"</t>
  </si>
  <si>
    <t>Запорізька</t>
  </si>
  <si>
    <t>КП теплозабезпечення (м. Коростень)</t>
  </si>
  <si>
    <t>КП Новоград-Волинської міської ради
«Новоград-Волинськтеплокомуненерго»</t>
  </si>
  <si>
    <t>КП "Озерне" Новогуйвинської селищної ради</t>
  </si>
  <si>
    <t xml:space="preserve">КП "Житомиртеплокомуненерго"  </t>
  </si>
  <si>
    <t>КП "Бердичівтеплоенерго"</t>
  </si>
  <si>
    <t>Житомирська</t>
  </si>
  <si>
    <t>ТОВ "Краматорськтеплоенерго"</t>
  </si>
  <si>
    <t>ТОВ "ДТЕК Східенерго" ВП "Курахівська ТЕС"</t>
  </si>
  <si>
    <t>ТОВ "ДТЕК "Добропіллявугілля"</t>
  </si>
  <si>
    <t>ТОВ "Водотеплокомунікація" (м. Вугледар)</t>
  </si>
  <si>
    <t>ТОВ "Артемівськ-Енергія"</t>
  </si>
  <si>
    <t>ТДВ "Шахта "Білозерська"</t>
  </si>
  <si>
    <t>ПрАТ "Горлівськтепломережа"</t>
  </si>
  <si>
    <t>ПАТ "Часівоярський вогнетривкий комбінат"</t>
  </si>
  <si>
    <t>ПАТ "ДТЕК Донецькобленерго" ВП "Миронівська ТЕС"</t>
  </si>
  <si>
    <t>ПАТ "Донбасенерго"</t>
  </si>
  <si>
    <t>ОКП "Донецьктеплокомуненерго"</t>
  </si>
  <si>
    <t>КП "Тепломережа" (м. Донецьк)</t>
  </si>
  <si>
    <t>КП "Макіївтепломережа"</t>
  </si>
  <si>
    <t>КП "Красноармійськтепломережа"</t>
  </si>
  <si>
    <t>КП "Вуглик" Горлівської міської ради</t>
  </si>
  <si>
    <t>ККП "Маріупольтепломережа"</t>
  </si>
  <si>
    <t>ККП "Донецькміськтепломережа"</t>
  </si>
  <si>
    <t>КВП «Краматорська тепломережа» Краматорської міської ради</t>
  </si>
  <si>
    <t>Донецька</t>
  </si>
  <si>
    <t>ТОВ "Дзержинське управління регіонального будівництва"</t>
  </si>
  <si>
    <t>ТОВ "Теплосервіс"</t>
  </si>
  <si>
    <t>Першотравенське міське житлово-комунальне підприємство</t>
  </si>
  <si>
    <t>ПАТ "ДТЕК Дніпроенерго" ВП "Придніпровська ТЕС"</t>
  </si>
  <si>
    <t>ПАТ "ДТЕК Дніпроенерго" ВП "Криворізька ТЕС"</t>
  </si>
  <si>
    <t>Орджонікідзевському міському КП "Орджонікідзетеплоенерго"</t>
  </si>
  <si>
    <t>Нікопольське КП «Нікопольтеплоенерго»</t>
  </si>
  <si>
    <t>МКП "Дніпропетровські міські теплові мережі"</t>
  </si>
  <si>
    <t>КПТМ "Криворіжтепломережа"</t>
  </si>
  <si>
    <t>КП "ТПТЕ "Теплотранс" Дніпропетровської міської ради</t>
  </si>
  <si>
    <t>КП "Теплоенерго" Дніпропетровської міської ради</t>
  </si>
  <si>
    <t>КП "Павлоградтеплоенерго"</t>
  </si>
  <si>
    <t>КП "Новомосковськтеплоенерго"</t>
  </si>
  <si>
    <t>КП "Марганецьтепломережа"</t>
  </si>
  <si>
    <t>КП "Коменергосервіс" Дніпропетровської міської ради</t>
  </si>
  <si>
    <t>КП "Жовтоводськтепломережа"</t>
  </si>
  <si>
    <t>КП "Дніпродзержинськтепломережа"</t>
  </si>
  <si>
    <t>Комунальне підприємство "Тернівське житлово-комунальне підприємство"</t>
  </si>
  <si>
    <t>ДП "Криворізька теплоцентраль"</t>
  </si>
  <si>
    <t>Дніпропетровська</t>
  </si>
  <si>
    <t>ТзОВ "Західна Теплоенергетична Група"</t>
  </si>
  <si>
    <t>ПТМ "Ковельтепло"</t>
  </si>
  <si>
    <t>КП "Нововолинськтеплокомуненерго" житлово-комунального об'єднання Нововолинської міської ради</t>
  </si>
  <si>
    <t>ДКП "Луцьктепло"</t>
  </si>
  <si>
    <t>Володимир-Волинське ПТМ "Володимир-олинськтеплокомуненерго"</t>
  </si>
  <si>
    <t>Волинська</t>
  </si>
  <si>
    <t>Могилів-Подільське міське КП "Теплоенергетик"</t>
  </si>
  <si>
    <t>КП ВМР "Вінницяміськтеплоенерго"</t>
  </si>
  <si>
    <t>КП "Вінницяоблтеплоенерго"</t>
  </si>
  <si>
    <t>ДП "Теплокомуненерго Маяк" ВАТ "Маяк"</t>
  </si>
  <si>
    <t xml:space="preserve">Відокремлений підрозділ "Ладижинська ТЕС" ПАТ "ДТЕК Західенерго" </t>
  </si>
  <si>
    <t>Вінницька</t>
  </si>
  <si>
    <t>ЦО, грн за Гкал з ПДВ</t>
  </si>
  <si>
    <t>Теплова енергія, грн за Гкал з ПДВ</t>
  </si>
  <si>
    <t>Компанія</t>
  </si>
  <si>
    <t>Тарифи на централізоване опалення вказані станом на 1 травня 2015 року і затверджені Постановою № 1171 від 31 березня 2015 року Національної комісії, що здійснює державне регулювання у сферах енергетики та комунальних послуг.
Тарифи на теплову енергію, її виробництво, транспортування, постачання для потреб населення (тарифи для житлово-експлуатаційних організацій) вказані станом на 1 квітня 2015 року і затверджені відповідними постановами Національної комісії, що здійснює державне регулювання у сферах енергетики та комунальних послуг для кожної теплопостачальної організації.
Для організацій, яким затверджено двоставкові тарифи на централізоване опалення, для більш точних розрахунків використані тарифи на теплову енергію (позначені блакитним маркером); тарифи на централізоване опалення без врахування умовно-постійної частини тарифу зазначено в примітках.</t>
  </si>
  <si>
    <t>АРК</t>
  </si>
  <si>
    <t>Споживання теплової енергії до модернізації, Гкал за опалювальний період</t>
  </si>
  <si>
    <t>Очікувана економія теплової енергії внаслідок термомодернізації, %</t>
  </si>
  <si>
    <t>Вартість робіт та послуг (включаючи проектну документацію), грн</t>
  </si>
  <si>
    <t>Тариф на теплову енергію, грн за м2 за опалювальний сезон</t>
  </si>
  <si>
    <t>грн. *авансовий внесок, не обов'язково</t>
  </si>
  <si>
    <t>Одноразова комісія</t>
  </si>
  <si>
    <t>Обсяг кредиту в разі відсутності державної компенсації, грн</t>
  </si>
  <si>
    <t>Різниця платежів</t>
  </si>
  <si>
    <t>З державною підтримкою</t>
  </si>
  <si>
    <t>Додаткова компенсація відсотків за кредитом з місцевих бюджетів</t>
  </si>
  <si>
    <t>Економія у платежах за електричну енергію</t>
  </si>
  <si>
    <t>Тариф на електричну енергію 2015, грн за кВт год</t>
  </si>
  <si>
    <t>Тариф на електричну енергію 2016, грн за кВт год</t>
  </si>
  <si>
    <t>Тариф на електричну енергію 2017, грн за кВт год</t>
  </si>
  <si>
    <t>Разова комісія банку</t>
  </si>
  <si>
    <t>Укрексім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</si>
</sst>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[$$-409]* #,##0_ ;_-[$$-409]* \-#,##0\ ;_-[$$-409]* &quot;-&quot;_ ;_-@_ "/>
    <numFmt numFmtId="165" formatCode="#,##0.0"/>
    <numFmt numFmtId="166" formatCode="#,##0.000"/>
    <numFmt numFmtId="167" formatCode="0.0%"/>
    <numFmt numFmtId="168" formatCode="#,##0.0000"/>
    <numFmt numFmtId="169" formatCode="#,##0;[Red]#,##0"/>
    <numFmt numFmtId="170" formatCode="0.0"/>
    <numFmt numFmtId="171" formatCode="dd/mm/yyyy;@"/>
    <numFmt numFmtId="172" formatCode="0.000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egoe UI"/>
      <family val="2"/>
      <charset val="204"/>
    </font>
    <font>
      <i/>
      <sz val="10"/>
      <color rgb="FFFF0000"/>
      <name val="Segoe UI"/>
      <family val="2"/>
      <charset val="204"/>
    </font>
    <font>
      <sz val="11"/>
      <color rgb="FFFF0000"/>
      <name val="Segoe UI"/>
      <family val="2"/>
      <charset val="204"/>
    </font>
    <font>
      <b/>
      <sz val="11"/>
      <color theme="0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4"/>
      <name val="Segoe UI"/>
      <family val="2"/>
      <charset val="204"/>
    </font>
    <font>
      <i/>
      <sz val="10"/>
      <color theme="1"/>
      <name val="Segoe UI"/>
      <family val="2"/>
      <charset val="204"/>
    </font>
    <font>
      <i/>
      <sz val="11"/>
      <color theme="1"/>
      <name val="Segoe UI"/>
      <family val="2"/>
      <charset val="204"/>
    </font>
    <font>
      <b/>
      <i/>
      <sz val="10"/>
      <color theme="1"/>
      <name val="Segoe UI"/>
      <family val="2"/>
      <charset val="204"/>
    </font>
    <font>
      <b/>
      <i/>
      <sz val="11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11"/>
      <color theme="0"/>
      <name val="Segoe UI"/>
      <family val="2"/>
      <charset val="204"/>
    </font>
    <font>
      <b/>
      <sz val="10"/>
      <color theme="1"/>
      <name val="Segoe UI"/>
      <family val="2"/>
      <charset val="204"/>
    </font>
    <font>
      <i/>
      <sz val="9"/>
      <color theme="1" tint="0.34998626667073579"/>
      <name val="Segoe UI"/>
      <family val="2"/>
      <charset val="204"/>
    </font>
    <font>
      <sz val="9"/>
      <color theme="1" tint="0.34998626667073579"/>
      <name val="Segoe UI"/>
      <family val="2"/>
      <charset val="204"/>
    </font>
    <font>
      <b/>
      <sz val="16"/>
      <color theme="1"/>
      <name val="Segoe U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rgb="FF003366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0"/>
      <name val="Arial"/>
      <family val="2"/>
      <charset val="204"/>
    </font>
    <font>
      <b/>
      <i/>
      <sz val="11"/>
      <color indexed="1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Cambria"/>
      <family val="1"/>
      <charset val="204"/>
      <scheme val="major"/>
    </font>
    <font>
      <sz val="11"/>
      <color rgb="FFFF0000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Segoe UI"/>
      <family val="2"/>
      <charset val="204"/>
    </font>
    <font>
      <b/>
      <i/>
      <sz val="11"/>
      <name val="Segoe UI"/>
      <family val="2"/>
      <charset val="204"/>
    </font>
    <font>
      <b/>
      <i/>
      <sz val="10"/>
      <name val="Segoe U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</cellStyleXfs>
  <cellXfs count="443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8" fillId="5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3" fontId="4" fillId="6" borderId="1" xfId="0" applyNumberFormat="1" applyFont="1" applyFill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0" fillId="0" borderId="1" xfId="0" applyBorder="1"/>
    <xf numFmtId="0" fontId="0" fillId="0" borderId="1" xfId="0" applyFill="1" applyBorder="1"/>
    <xf numFmtId="0" fontId="22" fillId="6" borderId="4" xfId="0" applyFont="1" applyFill="1" applyBorder="1" applyAlignment="1">
      <alignment horizontal="center"/>
    </xf>
    <xf numFmtId="3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/>
    <xf numFmtId="9" fontId="0" fillId="0" borderId="1" xfId="0" applyNumberFormat="1" applyBorder="1" applyAlignment="1">
      <alignment horizontal="left"/>
    </xf>
    <xf numFmtId="0" fontId="22" fillId="0" borderId="1" xfId="0" applyFont="1" applyBorder="1"/>
    <xf numFmtId="0" fontId="0" fillId="0" borderId="1" xfId="0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2" fontId="0" fillId="0" borderId="0" xfId="0" applyNumberFormat="1"/>
    <xf numFmtId="0" fontId="22" fillId="6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10" borderId="5" xfId="3" applyFill="1" applyBorder="1" applyAlignment="1" applyProtection="1">
      <alignment horizontal="center" wrapText="1"/>
    </xf>
    <xf numFmtId="0" fontId="0" fillId="10" borderId="1" xfId="0" applyFill="1" applyBorder="1" applyAlignment="1">
      <alignment horizontal="center"/>
    </xf>
    <xf numFmtId="0" fontId="26" fillId="10" borderId="1" xfId="0" applyFont="1" applyFill="1" applyBorder="1" applyAlignment="1">
      <alignment horizontal="center" wrapText="1"/>
    </xf>
    <xf numFmtId="0" fontId="26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9" fontId="0" fillId="0" borderId="0" xfId="0" applyNumberFormat="1"/>
    <xf numFmtId="169" fontId="0" fillId="0" borderId="0" xfId="0" applyNumberFormat="1"/>
    <xf numFmtId="3" fontId="0" fillId="0" borderId="0" xfId="0" applyNumberFormat="1"/>
    <xf numFmtId="0" fontId="0" fillId="0" borderId="10" xfId="0" applyBorder="1"/>
    <xf numFmtId="17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9" xfId="0" applyBorder="1"/>
    <xf numFmtId="2" fontId="0" fillId="0" borderId="10" xfId="0" applyNumberFormat="1" applyBorder="1"/>
    <xf numFmtId="2" fontId="0" fillId="0" borderId="10" xfId="0" applyNumberFormat="1" applyBorder="1" applyAlignment="1">
      <alignment wrapText="1"/>
    </xf>
    <xf numFmtId="2" fontId="0" fillId="0" borderId="10" xfId="0" applyNumberForma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4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" fontId="0" fillId="0" borderId="0" xfId="0" applyNumberFormat="1"/>
    <xf numFmtId="0" fontId="3" fillId="0" borderId="0" xfId="0" applyFont="1" applyAlignment="1">
      <alignment wrapText="1"/>
    </xf>
    <xf numFmtId="1" fontId="0" fillId="4" borderId="0" xfId="0" applyNumberFormat="1" applyFill="1"/>
    <xf numFmtId="170" fontId="0" fillId="4" borderId="0" xfId="0" applyNumberFormat="1" applyFill="1"/>
    <xf numFmtId="9" fontId="0" fillId="4" borderId="0" xfId="0" applyNumberFormat="1" applyFill="1"/>
    <xf numFmtId="169" fontId="0" fillId="4" borderId="0" xfId="0" applyNumberFormat="1" applyFill="1"/>
    <xf numFmtId="2" fontId="0" fillId="0" borderId="0" xfId="0" applyNumberFormat="1" applyAlignment="1">
      <alignment wrapText="1"/>
    </xf>
    <xf numFmtId="169" fontId="0" fillId="0" borderId="0" xfId="0" applyNumberFormat="1" applyFill="1"/>
    <xf numFmtId="14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8" xfId="0" applyNumberFormat="1" applyBorder="1" applyAlignment="1">
      <alignment wrapText="1"/>
    </xf>
    <xf numFmtId="172" fontId="0" fillId="0" borderId="9" xfId="0" applyNumberFormat="1" applyBorder="1"/>
    <xf numFmtId="1" fontId="0" fillId="0" borderId="9" xfId="0" applyNumberFormat="1" applyFill="1" applyBorder="1"/>
    <xf numFmtId="0" fontId="0" fillId="0" borderId="15" xfId="0" applyBorder="1"/>
    <xf numFmtId="3" fontId="0" fillId="0" borderId="6" xfId="0" applyNumberFormat="1" applyBorder="1"/>
    <xf numFmtId="2" fontId="0" fillId="0" borderId="8" xfId="0" applyNumberFormat="1" applyBorder="1" applyAlignment="1">
      <alignment horizontal="left" wrapText="1"/>
    </xf>
    <xf numFmtId="3" fontId="0" fillId="0" borderId="9" xfId="0" applyNumberFormat="1" applyBorder="1"/>
    <xf numFmtId="9" fontId="0" fillId="0" borderId="9" xfId="0" applyNumberFormat="1" applyBorder="1"/>
    <xf numFmtId="3" fontId="0" fillId="0" borderId="9" xfId="0" applyNumberFormat="1" applyFill="1" applyBorder="1"/>
    <xf numFmtId="3" fontId="0" fillId="0" borderId="0" xfId="0" applyNumberFormat="1" applyAlignment="1">
      <alignment horizontal="center" vertical="center" wrapText="1"/>
    </xf>
    <xf numFmtId="3" fontId="0" fillId="0" borderId="7" xfId="0" applyNumberFormat="1" applyBorder="1"/>
    <xf numFmtId="0" fontId="0" fillId="0" borderId="7" xfId="0" applyBorder="1"/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0" fillId="9" borderId="6" xfId="0" applyNumberFormat="1" applyFill="1" applyBorder="1"/>
    <xf numFmtId="4" fontId="0" fillId="9" borderId="7" xfId="0" applyNumberFormat="1" applyFill="1" applyBorder="1"/>
    <xf numFmtId="4" fontId="0" fillId="9" borderId="9" xfId="0" applyNumberFormat="1" applyFill="1" applyBorder="1"/>
    <xf numFmtId="4" fontId="0" fillId="9" borderId="1" xfId="0" applyNumberFormat="1" applyFill="1" applyBorder="1"/>
    <xf numFmtId="0" fontId="0" fillId="0" borderId="35" xfId="0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0" fillId="0" borderId="35" xfId="0" applyBorder="1" applyAlignment="1">
      <alignment horizontal="center" vertical="center" wrapText="1"/>
    </xf>
    <xf numFmtId="9" fontId="0" fillId="0" borderId="0" xfId="0" applyNumberFormat="1" applyFill="1"/>
    <xf numFmtId="2" fontId="0" fillId="11" borderId="0" xfId="0" applyNumberFormat="1" applyFill="1" applyBorder="1"/>
    <xf numFmtId="0" fontId="0" fillId="11" borderId="0" xfId="0" applyFill="1"/>
    <xf numFmtId="0" fontId="3" fillId="11" borderId="0" xfId="0" applyFont="1" applyFill="1" applyBorder="1" applyAlignment="1">
      <alignment horizontal="left" vertical="center" wrapText="1" indent="1"/>
    </xf>
    <xf numFmtId="2" fontId="0" fillId="0" borderId="6" xfId="0" applyNumberFormat="1" applyBorder="1"/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 indent="1"/>
    </xf>
    <xf numFmtId="2" fontId="0" fillId="0" borderId="9" xfId="0" applyNumberForma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 wrapText="1" indent="1"/>
    </xf>
    <xf numFmtId="2" fontId="0" fillId="5" borderId="9" xfId="0" applyNumberFormat="1" applyFill="1" applyBorder="1"/>
    <xf numFmtId="2" fontId="0" fillId="4" borderId="9" xfId="0" applyNumberFormat="1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4" borderId="9" xfId="0" applyNumberFormat="1" applyFill="1" applyBorder="1"/>
    <xf numFmtId="9" fontId="0" fillId="4" borderId="9" xfId="0" applyNumberFormat="1" applyFill="1" applyBorder="1"/>
    <xf numFmtId="1" fontId="0" fillId="4" borderId="13" xfId="0" applyNumberFormat="1" applyFill="1" applyBorder="1"/>
    <xf numFmtId="9" fontId="0" fillId="3" borderId="9" xfId="0" applyNumberFormat="1" applyFill="1" applyBorder="1"/>
    <xf numFmtId="9" fontId="0" fillId="10" borderId="9" xfId="0" applyNumberFormat="1" applyFill="1" applyBorder="1"/>
    <xf numFmtId="3" fontId="0" fillId="4" borderId="9" xfId="0" applyNumberFormat="1" applyFill="1" applyBorder="1"/>
    <xf numFmtId="0" fontId="0" fillId="12" borderId="0" xfId="0" applyFill="1"/>
    <xf numFmtId="1" fontId="24" fillId="4" borderId="6" xfId="0" applyNumberFormat="1" applyFont="1" applyFill="1" applyBorder="1"/>
    <xf numFmtId="2" fontId="0" fillId="0" borderId="10" xfId="0" applyNumberFormat="1" applyFont="1" applyFill="1" applyBorder="1" applyAlignment="1">
      <alignment horizontal="left" wrapText="1"/>
    </xf>
    <xf numFmtId="2" fontId="0" fillId="0" borderId="9" xfId="0" applyNumberFormat="1" applyFont="1" applyFill="1" applyBorder="1" applyAlignment="1">
      <alignment horizontal="right"/>
    </xf>
    <xf numFmtId="0" fontId="0" fillId="11" borderId="5" xfId="0" applyFill="1" applyBorder="1" applyAlignment="1">
      <alignment horizontal="left" vertical="center"/>
    </xf>
    <xf numFmtId="0" fontId="0" fillId="4" borderId="9" xfId="0" applyFill="1" applyBorder="1"/>
    <xf numFmtId="2" fontId="0" fillId="3" borderId="10" xfId="0" applyNumberFormat="1" applyFill="1" applyBorder="1" applyAlignment="1">
      <alignment horizontal="left" wrapText="1"/>
    </xf>
    <xf numFmtId="3" fontId="0" fillId="13" borderId="9" xfId="0" applyNumberFormat="1" applyFill="1" applyBorder="1"/>
    <xf numFmtId="0" fontId="38" fillId="12" borderId="0" xfId="0" applyFont="1" applyFill="1" applyAlignment="1">
      <alignment vertical="top"/>
    </xf>
    <xf numFmtId="0" fontId="38" fillId="12" borderId="0" xfId="0" applyFont="1" applyFill="1" applyAlignment="1">
      <alignment horizontal="right" vertical="top"/>
    </xf>
    <xf numFmtId="0" fontId="28" fillId="12" borderId="0" xfId="0" applyFont="1" applyFill="1"/>
    <xf numFmtId="0" fontId="28" fillId="12" borderId="0" xfId="0" applyFont="1" applyFill="1" applyBorder="1"/>
    <xf numFmtId="167" fontId="28" fillId="12" borderId="15" xfId="0" applyNumberFormat="1" applyFont="1" applyFill="1" applyBorder="1" applyAlignment="1">
      <alignment horizontal="center" vertical="center"/>
    </xf>
    <xf numFmtId="167" fontId="28" fillId="12" borderId="14" xfId="0" applyNumberFormat="1" applyFont="1" applyFill="1" applyBorder="1" applyAlignment="1">
      <alignment horizontal="center" vertical="center"/>
    </xf>
    <xf numFmtId="167" fontId="28" fillId="12" borderId="13" xfId="0" applyNumberFormat="1" applyFont="1" applyFill="1" applyBorder="1" applyAlignment="1">
      <alignment horizontal="center" vertical="center"/>
    </xf>
    <xf numFmtId="167" fontId="28" fillId="12" borderId="0" xfId="0" applyNumberFormat="1" applyFont="1" applyFill="1" applyBorder="1" applyAlignment="1">
      <alignment horizontal="center" vertical="center"/>
    </xf>
    <xf numFmtId="167" fontId="28" fillId="12" borderId="10" xfId="0" applyNumberFormat="1" applyFont="1" applyFill="1" applyBorder="1" applyAlignment="1">
      <alignment horizontal="center" vertical="center"/>
    </xf>
    <xf numFmtId="167" fontId="28" fillId="12" borderId="1" xfId="0" applyNumberFormat="1" applyFont="1" applyFill="1" applyBorder="1" applyAlignment="1">
      <alignment horizontal="center" vertical="center"/>
    </xf>
    <xf numFmtId="167" fontId="28" fillId="12" borderId="9" xfId="0" applyNumberFormat="1" applyFont="1" applyFill="1" applyBorder="1" applyAlignment="1">
      <alignment horizontal="center" vertical="center"/>
    </xf>
    <xf numFmtId="165" fontId="28" fillId="12" borderId="10" xfId="4" applyNumberFormat="1" applyFont="1" applyFill="1" applyBorder="1" applyAlignment="1">
      <alignment horizontal="center" vertical="center"/>
    </xf>
    <xf numFmtId="165" fontId="28" fillId="12" borderId="1" xfId="4" applyNumberFormat="1" applyFont="1" applyFill="1" applyBorder="1" applyAlignment="1">
      <alignment horizontal="center" vertical="center"/>
    </xf>
    <xf numFmtId="165" fontId="28" fillId="12" borderId="1" xfId="0" applyNumberFormat="1" applyFont="1" applyFill="1" applyBorder="1" applyAlignment="1">
      <alignment horizontal="center" vertical="center"/>
    </xf>
    <xf numFmtId="165" fontId="28" fillId="12" borderId="9" xfId="4" applyNumberFormat="1" applyFont="1" applyFill="1" applyBorder="1" applyAlignment="1">
      <alignment horizontal="center" vertical="center"/>
    </xf>
    <xf numFmtId="165" fontId="28" fillId="12" borderId="0" xfId="4" applyNumberFormat="1" applyFont="1" applyFill="1" applyBorder="1" applyAlignment="1">
      <alignment horizontal="center" vertical="center"/>
    </xf>
    <xf numFmtId="165" fontId="28" fillId="12" borderId="0" xfId="0" applyNumberFormat="1" applyFont="1" applyFill="1" applyBorder="1" applyAlignment="1">
      <alignment horizontal="center" vertical="center"/>
    </xf>
    <xf numFmtId="167" fontId="28" fillId="12" borderId="10" xfId="1" applyNumberFormat="1" applyFont="1" applyFill="1" applyBorder="1" applyAlignment="1">
      <alignment horizontal="center" vertical="center"/>
    </xf>
    <xf numFmtId="167" fontId="28" fillId="12" borderId="1" xfId="1" applyNumberFormat="1" applyFont="1" applyFill="1" applyBorder="1" applyAlignment="1">
      <alignment horizontal="center" vertical="center"/>
    </xf>
    <xf numFmtId="167" fontId="28" fillId="12" borderId="9" xfId="1" applyNumberFormat="1" applyFont="1" applyFill="1" applyBorder="1" applyAlignment="1">
      <alignment horizontal="center" vertical="center"/>
    </xf>
    <xf numFmtId="167" fontId="28" fillId="12" borderId="0" xfId="1" applyNumberFormat="1" applyFont="1" applyFill="1" applyBorder="1" applyAlignment="1">
      <alignment horizontal="center" vertical="center"/>
    </xf>
    <xf numFmtId="165" fontId="28" fillId="12" borderId="10" xfId="0" applyNumberFormat="1" applyFont="1" applyFill="1" applyBorder="1" applyAlignment="1">
      <alignment horizontal="center" vertical="center"/>
    </xf>
    <xf numFmtId="165" fontId="28" fillId="12" borderId="9" xfId="0" applyNumberFormat="1" applyFont="1" applyFill="1" applyBorder="1" applyAlignment="1">
      <alignment horizontal="center" vertical="center"/>
    </xf>
    <xf numFmtId="165" fontId="28" fillId="12" borderId="8" xfId="0" applyNumberFormat="1" applyFont="1" applyFill="1" applyBorder="1" applyAlignment="1">
      <alignment horizontal="center" vertical="center"/>
    </xf>
    <xf numFmtId="166" fontId="28" fillId="12" borderId="7" xfId="0" applyNumberFormat="1" applyFont="1" applyFill="1" applyBorder="1" applyAlignment="1">
      <alignment horizontal="center" vertical="center"/>
    </xf>
    <xf numFmtId="166" fontId="28" fillId="12" borderId="6" xfId="0" applyNumberFormat="1" applyFont="1" applyFill="1" applyBorder="1" applyAlignment="1">
      <alignment horizontal="center" vertical="center"/>
    </xf>
    <xf numFmtId="166" fontId="28" fillId="12" borderId="0" xfId="0" applyNumberFormat="1" applyFont="1" applyFill="1" applyBorder="1" applyAlignment="1">
      <alignment horizontal="center" vertical="center"/>
    </xf>
    <xf numFmtId="49" fontId="28" fillId="12" borderId="15" xfId="0" applyNumberFormat="1" applyFont="1" applyFill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/>
    </xf>
    <xf numFmtId="0" fontId="28" fillId="12" borderId="13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28" fillId="12" borderId="6" xfId="0" applyFont="1" applyFill="1" applyBorder="1" applyAlignment="1">
      <alignment horizontal="center" vertical="center"/>
    </xf>
    <xf numFmtId="3" fontId="35" fillId="12" borderId="0" xfId="0" applyNumberFormat="1" applyFont="1" applyFill="1" applyBorder="1"/>
    <xf numFmtId="3" fontId="34" fillId="12" borderId="14" xfId="0" applyNumberFormat="1" applyFont="1" applyFill="1" applyBorder="1"/>
    <xf numFmtId="3" fontId="34" fillId="12" borderId="13" xfId="0" applyNumberFormat="1" applyFont="1" applyFill="1" applyBorder="1"/>
    <xf numFmtId="3" fontId="34" fillId="12" borderId="0" xfId="0" applyNumberFormat="1" applyFont="1" applyFill="1" applyBorder="1"/>
    <xf numFmtId="3" fontId="34" fillId="12" borderId="2" xfId="0" applyNumberFormat="1" applyFont="1" applyFill="1" applyBorder="1" applyAlignment="1">
      <alignment horizontal="right" vertical="center"/>
    </xf>
    <xf numFmtId="3" fontId="34" fillId="12" borderId="1" xfId="0" applyNumberFormat="1" applyFont="1" applyFill="1" applyBorder="1" applyAlignment="1">
      <alignment horizontal="right" vertical="center"/>
    </xf>
    <xf numFmtId="3" fontId="34" fillId="12" borderId="9" xfId="0" applyNumberFormat="1" applyFont="1" applyFill="1" applyBorder="1" applyAlignment="1">
      <alignment horizontal="right" vertical="center"/>
    </xf>
    <xf numFmtId="3" fontId="34" fillId="12" borderId="0" xfId="0" applyNumberFormat="1" applyFont="1" applyFill="1" applyBorder="1" applyAlignment="1">
      <alignment horizontal="right" vertical="center"/>
    </xf>
    <xf numFmtId="3" fontId="28" fillId="12" borderId="2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3" fontId="28" fillId="12" borderId="9" xfId="0" applyNumberFormat="1" applyFont="1" applyFill="1" applyBorder="1" applyAlignment="1">
      <alignment horizontal="right" vertical="center"/>
    </xf>
    <xf numFmtId="3" fontId="28" fillId="12" borderId="0" xfId="0" applyNumberFormat="1" applyFont="1" applyFill="1" applyBorder="1" applyAlignment="1">
      <alignment horizontal="right" vertical="center"/>
    </xf>
    <xf numFmtId="0" fontId="34" fillId="12" borderId="0" xfId="0" applyFont="1" applyFill="1" applyBorder="1" applyAlignment="1">
      <alignment horizontal="left" vertical="center" wrapText="1"/>
    </xf>
    <xf numFmtId="165" fontId="34" fillId="12" borderId="0" xfId="0" applyNumberFormat="1" applyFont="1" applyFill="1" applyBorder="1" applyAlignment="1">
      <alignment horizontal="right" vertical="center"/>
    </xf>
    <xf numFmtId="0" fontId="33" fillId="12" borderId="0" xfId="2" applyFont="1" applyFill="1" applyBorder="1" applyAlignment="1" applyProtection="1">
      <alignment vertical="center"/>
    </xf>
    <xf numFmtId="3" fontId="32" fillId="12" borderId="1" xfId="2" applyNumberFormat="1" applyFont="1" applyFill="1" applyBorder="1" applyAlignment="1" applyProtection="1">
      <alignment vertical="center"/>
    </xf>
    <xf numFmtId="0" fontId="28" fillId="12" borderId="1" xfId="0" applyFont="1" applyFill="1" applyBorder="1"/>
    <xf numFmtId="0" fontId="28" fillId="12" borderId="3" xfId="0" applyFont="1" applyFill="1" applyBorder="1"/>
    <xf numFmtId="4" fontId="32" fillId="12" borderId="1" xfId="2" applyNumberFormat="1" applyFont="1" applyFill="1" applyBorder="1" applyAlignment="1" applyProtection="1">
      <alignment vertical="center"/>
    </xf>
    <xf numFmtId="4" fontId="32" fillId="12" borderId="3" xfId="2" applyNumberFormat="1" applyFont="1" applyFill="1" applyBorder="1" applyAlignment="1" applyProtection="1">
      <alignment vertical="center"/>
    </xf>
    <xf numFmtId="4" fontId="32" fillId="12" borderId="0" xfId="2" applyNumberFormat="1" applyFont="1" applyFill="1" applyBorder="1" applyAlignment="1" applyProtection="1">
      <alignment vertical="center"/>
    </xf>
    <xf numFmtId="3" fontId="32" fillId="12" borderId="3" xfId="2" applyNumberFormat="1" applyFont="1" applyFill="1" applyBorder="1" applyAlignment="1" applyProtection="1">
      <alignment vertical="center"/>
    </xf>
    <xf numFmtId="3" fontId="32" fillId="12" borderId="0" xfId="2" applyNumberFormat="1" applyFont="1" applyFill="1" applyBorder="1" applyAlignment="1" applyProtection="1">
      <alignment vertical="center"/>
    </xf>
    <xf numFmtId="0" fontId="30" fillId="12" borderId="0" xfId="0" applyFont="1" applyFill="1"/>
    <xf numFmtId="0" fontId="29" fillId="12" borderId="0" xfId="2" applyFont="1" applyFill="1" applyBorder="1" applyAlignment="1" applyProtection="1">
      <alignment horizontal="left" vertical="center"/>
    </xf>
    <xf numFmtId="10" fontId="29" fillId="12" borderId="0" xfId="2" applyNumberFormat="1" applyFont="1" applyFill="1" applyBorder="1" applyAlignment="1" applyProtection="1">
      <alignment horizontal="center" vertical="center"/>
    </xf>
    <xf numFmtId="4" fontId="28" fillId="12" borderId="0" xfId="0" applyNumberFormat="1" applyFont="1" applyFill="1"/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2" fillId="12" borderId="0" xfId="0" applyFont="1" applyFill="1"/>
    <xf numFmtId="0" fontId="22" fillId="12" borderId="1" xfId="0" applyFont="1" applyFill="1" applyBorder="1"/>
    <xf numFmtId="0" fontId="22" fillId="12" borderId="1" xfId="0" applyFont="1" applyFill="1" applyBorder="1" applyAlignment="1">
      <alignment horizontal="center"/>
    </xf>
    <xf numFmtId="0" fontId="0" fillId="12" borderId="1" xfId="0" applyFill="1" applyBorder="1"/>
    <xf numFmtId="2" fontId="0" fillId="12" borderId="1" xfId="0" applyNumberFormat="1" applyFill="1" applyBorder="1"/>
    <xf numFmtId="0" fontId="24" fillId="12" borderId="1" xfId="0" applyFont="1" applyFill="1" applyBorder="1"/>
    <xf numFmtId="0" fontId="0" fillId="12" borderId="1" xfId="0" applyFill="1" applyBorder="1" applyAlignment="1">
      <alignment horizontal="center"/>
    </xf>
    <xf numFmtId="0" fontId="24" fillId="12" borderId="0" xfId="0" applyFont="1" applyFill="1"/>
    <xf numFmtId="0" fontId="24" fillId="12" borderId="1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2" fontId="0" fillId="12" borderId="0" xfId="0" applyNumberFormat="1" applyFill="1"/>
    <xf numFmtId="0" fontId="0" fillId="12" borderId="0" xfId="0" applyFill="1" applyAlignment="1">
      <alignment horizontal="right"/>
    </xf>
    <xf numFmtId="0" fontId="2" fillId="12" borderId="0" xfId="0" applyFont="1" applyFill="1" applyAlignment="1">
      <alignment horizontal="right"/>
    </xf>
    <xf numFmtId="2" fontId="2" fillId="12" borderId="0" xfId="0" applyNumberFormat="1" applyFont="1" applyFill="1"/>
    <xf numFmtId="1" fontId="0" fillId="12" borderId="1" xfId="0" applyNumberFormat="1" applyFill="1" applyBorder="1"/>
    <xf numFmtId="0" fontId="0" fillId="12" borderId="1" xfId="0" applyFont="1" applyFill="1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27" fillId="11" borderId="0" xfId="0" applyFont="1" applyFill="1" applyAlignment="1">
      <alignment horizontal="center" wrapText="1"/>
    </xf>
    <xf numFmtId="49" fontId="27" fillId="11" borderId="0" xfId="0" applyNumberFormat="1" applyFont="1" applyFill="1" applyAlignment="1">
      <alignment horizontal="center"/>
    </xf>
    <xf numFmtId="2" fontId="0" fillId="11" borderId="0" xfId="0" applyNumberFormat="1" applyFill="1" applyAlignment="1">
      <alignment horizontal="center"/>
    </xf>
    <xf numFmtId="0" fontId="27" fillId="11" borderId="0" xfId="0" applyFont="1" applyFill="1"/>
    <xf numFmtId="172" fontId="0" fillId="0" borderId="9" xfId="0" applyNumberFormat="1" applyFill="1" applyBorder="1"/>
    <xf numFmtId="0" fontId="0" fillId="0" borderId="0" xfId="0" applyFont="1" applyAlignment="1">
      <alignment wrapText="1"/>
    </xf>
    <xf numFmtId="3" fontId="4" fillId="0" borderId="1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right" vertical="center"/>
    </xf>
    <xf numFmtId="4" fontId="39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170" fontId="4" fillId="0" borderId="1" xfId="0" applyNumberFormat="1" applyFont="1" applyFill="1" applyBorder="1" applyAlignment="1">
      <alignment horizontal="right" vertical="center"/>
    </xf>
    <xf numFmtId="17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 applyProtection="1">
      <alignment horizontal="center" vertical="center"/>
      <protection locked="0" hidden="1"/>
    </xf>
    <xf numFmtId="0" fontId="0" fillId="0" borderId="5" xfId="0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9" fontId="2" fillId="0" borderId="0" xfId="0" applyNumberFormat="1" applyFont="1"/>
    <xf numFmtId="0" fontId="2" fillId="0" borderId="0" xfId="0" applyFont="1"/>
    <xf numFmtId="10" fontId="0" fillId="0" borderId="0" xfId="0" applyNumberFormat="1"/>
    <xf numFmtId="10" fontId="0" fillId="4" borderId="9" xfId="0" applyNumberFormat="1" applyFill="1" applyBorder="1"/>
    <xf numFmtId="0" fontId="8" fillId="0" borderId="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9" fillId="8" borderId="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3" fillId="5" borderId="10" xfId="0" applyNumberFormat="1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7" fillId="11" borderId="1" xfId="0" applyFont="1" applyFill="1" applyBorder="1" applyAlignment="1">
      <alignment horizontal="center"/>
    </xf>
    <xf numFmtId="4" fontId="29" fillId="12" borderId="1" xfId="2" applyNumberFormat="1" applyFont="1" applyFill="1" applyBorder="1" applyAlignment="1" applyProtection="1">
      <alignment horizontal="center" vertical="center"/>
    </xf>
    <xf numFmtId="4" fontId="29" fillId="12" borderId="9" xfId="2" applyNumberFormat="1" applyFont="1" applyFill="1" applyBorder="1" applyAlignment="1" applyProtection="1">
      <alignment horizontal="center" vertical="center"/>
    </xf>
    <xf numFmtId="0" fontId="29" fillId="12" borderId="8" xfId="2" applyFont="1" applyFill="1" applyBorder="1" applyAlignment="1" applyProtection="1">
      <alignment horizontal="left" vertical="center"/>
    </xf>
    <xf numFmtId="0" fontId="29" fillId="12" borderId="7" xfId="2" applyFont="1" applyFill="1" applyBorder="1" applyAlignment="1" applyProtection="1">
      <alignment horizontal="left" vertical="center"/>
    </xf>
    <xf numFmtId="10" fontId="29" fillId="12" borderId="7" xfId="2" applyNumberFormat="1" applyFont="1" applyFill="1" applyBorder="1" applyAlignment="1" applyProtection="1">
      <alignment horizontal="center" vertical="center"/>
    </xf>
    <xf numFmtId="10" fontId="29" fillId="12" borderId="6" xfId="2" applyNumberFormat="1" applyFont="1" applyFill="1" applyBorder="1" applyAlignment="1" applyProtection="1">
      <alignment horizontal="center" vertical="center"/>
    </xf>
    <xf numFmtId="0" fontId="32" fillId="12" borderId="1" xfId="2" applyFont="1" applyFill="1" applyBorder="1" applyAlignment="1" applyProtection="1">
      <alignment horizontal="left" vertical="center"/>
    </xf>
    <xf numFmtId="0" fontId="31" fillId="12" borderId="18" xfId="2" applyFont="1" applyFill="1" applyBorder="1" applyAlignment="1" applyProtection="1">
      <alignment horizontal="center" vertical="center"/>
    </xf>
    <xf numFmtId="0" fontId="31" fillId="12" borderId="17" xfId="2" applyFont="1" applyFill="1" applyBorder="1" applyAlignment="1" applyProtection="1">
      <alignment horizontal="center" vertical="center"/>
    </xf>
    <xf numFmtId="0" fontId="31" fillId="12" borderId="16" xfId="2" applyFont="1" applyFill="1" applyBorder="1" applyAlignment="1" applyProtection="1">
      <alignment horizontal="center" vertical="center"/>
    </xf>
    <xf numFmtId="0" fontId="29" fillId="12" borderId="15" xfId="2" applyFont="1" applyFill="1" applyBorder="1" applyAlignment="1" applyProtection="1">
      <alignment horizontal="left" vertical="center"/>
    </xf>
    <xf numFmtId="0" fontId="29" fillId="12" borderId="14" xfId="2" applyFont="1" applyFill="1" applyBorder="1" applyAlignment="1" applyProtection="1">
      <alignment horizontal="left" vertical="center"/>
    </xf>
    <xf numFmtId="0" fontId="29" fillId="12" borderId="14" xfId="2" applyFont="1" applyFill="1" applyBorder="1" applyAlignment="1" applyProtection="1">
      <alignment horizontal="center" vertical="center"/>
    </xf>
    <xf numFmtId="0" fontId="29" fillId="12" borderId="13" xfId="2" applyFont="1" applyFill="1" applyBorder="1" applyAlignment="1" applyProtection="1">
      <alignment horizontal="center" vertical="center"/>
    </xf>
    <xf numFmtId="0" fontId="29" fillId="12" borderId="10" xfId="2" applyFont="1" applyFill="1" applyBorder="1" applyAlignment="1" applyProtection="1">
      <alignment horizontal="left" vertical="center"/>
    </xf>
    <xf numFmtId="0" fontId="29" fillId="12" borderId="1" xfId="2" applyFont="1" applyFill="1" applyBorder="1" applyAlignment="1" applyProtection="1">
      <alignment horizontal="left" vertical="center"/>
    </xf>
    <xf numFmtId="10" fontId="29" fillId="12" borderId="1" xfId="2" applyNumberFormat="1" applyFont="1" applyFill="1" applyBorder="1" applyAlignment="1" applyProtection="1">
      <alignment horizontal="center" vertical="center"/>
    </xf>
    <xf numFmtId="10" fontId="29" fillId="12" borderId="9" xfId="2" applyNumberFormat="1" applyFont="1" applyFill="1" applyBorder="1" applyAlignment="1" applyProtection="1">
      <alignment horizontal="center" vertical="center"/>
    </xf>
    <xf numFmtId="0" fontId="29" fillId="12" borderId="12" xfId="2" applyFont="1" applyFill="1" applyBorder="1" applyAlignment="1" applyProtection="1">
      <alignment horizontal="left" vertical="center"/>
    </xf>
    <xf numFmtId="0" fontId="29" fillId="12" borderId="11" xfId="2" applyFont="1" applyFill="1" applyBorder="1" applyAlignment="1" applyProtection="1">
      <alignment horizontal="left" vertical="center"/>
    </xf>
    <xf numFmtId="0" fontId="29" fillId="12" borderId="2" xfId="2" applyFont="1" applyFill="1" applyBorder="1" applyAlignment="1" applyProtection="1">
      <alignment horizontal="left" vertical="center"/>
    </xf>
    <xf numFmtId="3" fontId="34" fillId="12" borderId="0" xfId="0" applyNumberFormat="1" applyFont="1" applyFill="1" applyBorder="1" applyAlignment="1">
      <alignment horizontal="right" vertical="center"/>
    </xf>
    <xf numFmtId="3" fontId="28" fillId="12" borderId="1" xfId="0" applyNumberFormat="1" applyFont="1" applyFill="1" applyBorder="1" applyAlignment="1">
      <alignment horizontal="right" vertical="center"/>
    </xf>
    <xf numFmtId="3" fontId="34" fillId="12" borderId="1" xfId="0" applyNumberFormat="1" applyFont="1" applyFill="1" applyBorder="1" applyAlignment="1">
      <alignment horizontal="right" vertical="center"/>
    </xf>
    <xf numFmtId="3" fontId="34" fillId="12" borderId="4" xfId="0" applyNumberFormat="1" applyFont="1" applyFill="1" applyBorder="1" applyAlignment="1">
      <alignment horizontal="right" vertical="center"/>
    </xf>
    <xf numFmtId="3" fontId="34" fillId="12" borderId="7" xfId="0" applyNumberFormat="1" applyFont="1" applyFill="1" applyBorder="1" applyAlignment="1">
      <alignment horizontal="right" vertical="center"/>
    </xf>
    <xf numFmtId="3" fontId="34" fillId="12" borderId="9" xfId="0" applyNumberFormat="1" applyFont="1" applyFill="1" applyBorder="1" applyAlignment="1">
      <alignment horizontal="right" vertical="center"/>
    </xf>
    <xf numFmtId="3" fontId="34" fillId="12" borderId="23" xfId="0" applyNumberFormat="1" applyFont="1" applyFill="1" applyBorder="1" applyAlignment="1">
      <alignment horizontal="right" vertical="center"/>
    </xf>
    <xf numFmtId="3" fontId="34" fillId="12" borderId="6" xfId="0" applyNumberFormat="1" applyFont="1" applyFill="1" applyBorder="1" applyAlignment="1">
      <alignment horizontal="right" vertical="center"/>
    </xf>
    <xf numFmtId="3" fontId="28" fillId="12" borderId="0" xfId="0" applyNumberFormat="1" applyFont="1" applyFill="1" applyBorder="1" applyAlignment="1">
      <alignment horizontal="right" vertical="center"/>
    </xf>
    <xf numFmtId="0" fontId="34" fillId="12" borderId="29" xfId="0" applyFont="1" applyFill="1" applyBorder="1" applyAlignment="1">
      <alignment horizontal="left" vertical="center" wrapText="1"/>
    </xf>
    <xf numFmtId="0" fontId="34" fillId="12" borderId="28" xfId="0" applyFont="1" applyFill="1" applyBorder="1" applyAlignment="1">
      <alignment horizontal="left" vertical="center" wrapText="1"/>
    </xf>
    <xf numFmtId="0" fontId="34" fillId="12" borderId="27" xfId="0" applyFont="1" applyFill="1" applyBorder="1" applyAlignment="1">
      <alignment horizontal="left" vertical="center" wrapText="1"/>
    </xf>
    <xf numFmtId="0" fontId="34" fillId="12" borderId="26" xfId="0" applyFont="1" applyFill="1" applyBorder="1" applyAlignment="1">
      <alignment horizontal="left" vertical="center" wrapText="1"/>
    </xf>
    <xf numFmtId="0" fontId="34" fillId="12" borderId="0" xfId="0" applyFont="1" applyFill="1" applyBorder="1" applyAlignment="1">
      <alignment horizontal="left" vertical="center" wrapText="1"/>
    </xf>
    <xf numFmtId="0" fontId="34" fillId="12" borderId="25" xfId="0" applyFont="1" applyFill="1" applyBorder="1" applyAlignment="1">
      <alignment horizontal="left" vertical="center" wrapText="1"/>
    </xf>
    <xf numFmtId="0" fontId="34" fillId="12" borderId="22" xfId="0" applyFont="1" applyFill="1" applyBorder="1" applyAlignment="1">
      <alignment horizontal="left" vertical="center" wrapText="1"/>
    </xf>
    <xf numFmtId="0" fontId="34" fillId="12" borderId="21" xfId="0" applyFont="1" applyFill="1" applyBorder="1" applyAlignment="1">
      <alignment horizontal="left" vertical="center" wrapText="1"/>
    </xf>
    <xf numFmtId="0" fontId="34" fillId="12" borderId="20" xfId="0" applyFont="1" applyFill="1" applyBorder="1" applyAlignment="1">
      <alignment horizontal="left" vertical="center" wrapText="1"/>
    </xf>
    <xf numFmtId="3" fontId="34" fillId="12" borderId="2" xfId="0" applyNumberFormat="1" applyFont="1" applyFill="1" applyBorder="1" applyAlignment="1">
      <alignment horizontal="right" vertical="center"/>
    </xf>
    <xf numFmtId="3" fontId="34" fillId="12" borderId="24" xfId="0" applyNumberFormat="1" applyFont="1" applyFill="1" applyBorder="1" applyAlignment="1">
      <alignment horizontal="right" vertical="center"/>
    </xf>
    <xf numFmtId="3" fontId="34" fillId="12" borderId="19" xfId="0" applyNumberFormat="1" applyFont="1" applyFill="1" applyBorder="1" applyAlignment="1">
      <alignment horizontal="right" vertical="center"/>
    </xf>
    <xf numFmtId="3" fontId="28" fillId="12" borderId="9" xfId="0" applyNumberFormat="1" applyFont="1" applyFill="1" applyBorder="1" applyAlignment="1">
      <alignment horizontal="right" vertical="center"/>
    </xf>
    <xf numFmtId="3" fontId="34" fillId="12" borderId="35" xfId="0" applyNumberFormat="1" applyFont="1" applyFill="1" applyBorder="1" applyAlignment="1">
      <alignment horizontal="right" vertical="center"/>
    </xf>
    <xf numFmtId="3" fontId="34" fillId="12" borderId="34" xfId="0" applyNumberFormat="1" applyFont="1" applyFill="1" applyBorder="1" applyAlignment="1">
      <alignment horizontal="right" vertical="center"/>
    </xf>
    <xf numFmtId="0" fontId="28" fillId="12" borderId="29" xfId="0" applyFont="1" applyFill="1" applyBorder="1" applyAlignment="1">
      <alignment horizontal="left" vertical="center" wrapText="1" indent="2"/>
    </xf>
    <xf numFmtId="0" fontId="28" fillId="12" borderId="28" xfId="0" applyFont="1" applyFill="1" applyBorder="1" applyAlignment="1">
      <alignment horizontal="left" vertical="center" wrapText="1" indent="2"/>
    </xf>
    <xf numFmtId="0" fontId="28" fillId="12" borderId="27" xfId="0" applyFont="1" applyFill="1" applyBorder="1" applyAlignment="1">
      <alignment horizontal="left" vertical="center" wrapText="1" indent="2"/>
    </xf>
    <xf numFmtId="0" fontId="28" fillId="12" borderId="32" xfId="0" applyFont="1" applyFill="1" applyBorder="1" applyAlignment="1">
      <alignment horizontal="left" vertical="center" wrapText="1" indent="2"/>
    </xf>
    <xf numFmtId="0" fontId="28" fillId="12" borderId="31" xfId="0" applyFont="1" applyFill="1" applyBorder="1" applyAlignment="1">
      <alignment horizontal="left" vertical="center" wrapText="1" indent="2"/>
    </xf>
    <xf numFmtId="0" fontId="28" fillId="12" borderId="30" xfId="0" applyFont="1" applyFill="1" applyBorder="1" applyAlignment="1">
      <alignment horizontal="left" vertical="center" wrapText="1" indent="2"/>
    </xf>
    <xf numFmtId="3" fontId="28" fillId="12" borderId="2" xfId="0" applyNumberFormat="1" applyFont="1" applyFill="1" applyBorder="1" applyAlignment="1">
      <alignment horizontal="right" vertical="center"/>
    </xf>
    <xf numFmtId="0" fontId="28" fillId="12" borderId="12" xfId="0" applyFont="1" applyFill="1" applyBorder="1" applyAlignment="1">
      <alignment horizontal="left" vertical="center" indent="2"/>
    </xf>
    <xf numFmtId="0" fontId="28" fillId="12" borderId="11" xfId="0" applyFont="1" applyFill="1" applyBorder="1" applyAlignment="1">
      <alignment horizontal="left" vertical="center" indent="2"/>
    </xf>
    <xf numFmtId="0" fontId="28" fillId="12" borderId="33" xfId="0" applyFont="1" applyFill="1" applyBorder="1" applyAlignment="1">
      <alignment horizontal="left" vertical="center" indent="2"/>
    </xf>
    <xf numFmtId="0" fontId="34" fillId="12" borderId="12" xfId="0" applyFont="1" applyFill="1" applyBorder="1" applyAlignment="1">
      <alignment horizontal="left" vertical="center"/>
    </xf>
    <xf numFmtId="0" fontId="34" fillId="12" borderId="11" xfId="0" applyFont="1" applyFill="1" applyBorder="1" applyAlignment="1">
      <alignment horizontal="left" vertical="center"/>
    </xf>
    <xf numFmtId="0" fontId="34" fillId="12" borderId="33" xfId="0" applyFont="1" applyFill="1" applyBorder="1" applyAlignment="1">
      <alignment horizontal="left" vertical="center"/>
    </xf>
    <xf numFmtId="0" fontId="34" fillId="12" borderId="32" xfId="0" applyFont="1" applyFill="1" applyBorder="1" applyAlignment="1">
      <alignment horizontal="left" vertical="center" wrapText="1"/>
    </xf>
    <xf numFmtId="0" fontId="34" fillId="12" borderId="31" xfId="0" applyFont="1" applyFill="1" applyBorder="1" applyAlignment="1">
      <alignment horizontal="left" vertical="center" wrapText="1"/>
    </xf>
    <xf numFmtId="0" fontId="34" fillId="12" borderId="30" xfId="0" applyFont="1" applyFill="1" applyBorder="1" applyAlignment="1">
      <alignment horizontal="left" vertical="center" wrapText="1"/>
    </xf>
    <xf numFmtId="3" fontId="34" fillId="12" borderId="28" xfId="0" applyNumberFormat="1" applyFont="1" applyFill="1" applyBorder="1" applyAlignment="1">
      <alignment horizontal="right" vertical="center"/>
    </xf>
    <xf numFmtId="3" fontId="34" fillId="12" borderId="31" xfId="0" applyNumberFormat="1" applyFont="1" applyFill="1" applyBorder="1" applyAlignment="1">
      <alignment horizontal="right" vertical="center"/>
    </xf>
    <xf numFmtId="3" fontId="34" fillId="12" borderId="5" xfId="0" applyNumberFormat="1" applyFont="1" applyFill="1" applyBorder="1" applyAlignment="1">
      <alignment horizontal="right" vertical="center"/>
    </xf>
    <xf numFmtId="3" fontId="34" fillId="12" borderId="36" xfId="0" applyNumberFormat="1" applyFont="1" applyFill="1" applyBorder="1" applyAlignment="1">
      <alignment horizontal="right" vertical="center"/>
    </xf>
    <xf numFmtId="3" fontId="34" fillId="12" borderId="0" xfId="0" applyNumberFormat="1" applyFont="1" applyFill="1" applyBorder="1" applyAlignment="1">
      <alignment horizontal="left" vertical="center"/>
    </xf>
    <xf numFmtId="3" fontId="34" fillId="12" borderId="4" xfId="0" applyNumberFormat="1" applyFont="1" applyFill="1" applyBorder="1" applyAlignment="1">
      <alignment horizontal="left" vertical="center"/>
    </xf>
    <xf numFmtId="3" fontId="34" fillId="12" borderId="5" xfId="0" applyNumberFormat="1" applyFont="1" applyFill="1" applyBorder="1" applyAlignment="1">
      <alignment horizontal="left" vertical="center"/>
    </xf>
    <xf numFmtId="3" fontId="34" fillId="12" borderId="35" xfId="0" applyNumberFormat="1" applyFont="1" applyFill="1" applyBorder="1" applyAlignment="1">
      <alignment horizontal="left" vertical="center"/>
    </xf>
    <xf numFmtId="3" fontId="34" fillId="12" borderId="23" xfId="0" applyNumberFormat="1" applyFont="1" applyFill="1" applyBorder="1" applyAlignment="1">
      <alignment horizontal="left" vertical="center"/>
    </xf>
    <xf numFmtId="3" fontId="34" fillId="12" borderId="36" xfId="0" applyNumberFormat="1" applyFont="1" applyFill="1" applyBorder="1" applyAlignment="1">
      <alignment horizontal="left" vertical="center"/>
    </xf>
    <xf numFmtId="3" fontId="34" fillId="12" borderId="34" xfId="0" applyNumberFormat="1" applyFont="1" applyFill="1" applyBorder="1" applyAlignment="1">
      <alignment horizontal="left" vertical="center"/>
    </xf>
    <xf numFmtId="3" fontId="28" fillId="12" borderId="4" xfId="0" applyNumberFormat="1" applyFont="1" applyFill="1" applyBorder="1" applyAlignment="1">
      <alignment horizontal="right" vertical="center"/>
    </xf>
    <xf numFmtId="3" fontId="28" fillId="12" borderId="5" xfId="0" applyNumberFormat="1" applyFont="1" applyFill="1" applyBorder="1" applyAlignment="1">
      <alignment horizontal="right" vertical="center"/>
    </xf>
    <xf numFmtId="3" fontId="28" fillId="12" borderId="35" xfId="0" applyNumberFormat="1" applyFont="1" applyFill="1" applyBorder="1" applyAlignment="1">
      <alignment horizontal="right" vertical="center"/>
    </xf>
    <xf numFmtId="3" fontId="28" fillId="12" borderId="23" xfId="0" applyNumberFormat="1" applyFont="1" applyFill="1" applyBorder="1" applyAlignment="1">
      <alignment horizontal="right" vertical="center"/>
    </xf>
    <xf numFmtId="3" fontId="28" fillId="12" borderId="36" xfId="0" applyNumberFormat="1" applyFont="1" applyFill="1" applyBorder="1" applyAlignment="1">
      <alignment horizontal="right" vertical="center"/>
    </xf>
    <xf numFmtId="3" fontId="28" fillId="12" borderId="34" xfId="0" applyNumberFormat="1" applyFont="1" applyFill="1" applyBorder="1" applyAlignment="1">
      <alignment horizontal="right" vertical="center"/>
    </xf>
    <xf numFmtId="0" fontId="28" fillId="12" borderId="10" xfId="0" applyFont="1" applyFill="1" applyBorder="1" applyAlignment="1">
      <alignment horizontal="left" vertical="center" wrapText="1" indent="3"/>
    </xf>
    <xf numFmtId="0" fontId="28" fillId="12" borderId="1" xfId="0" applyFont="1" applyFill="1" applyBorder="1" applyAlignment="1">
      <alignment horizontal="left" vertical="center" wrapText="1" indent="3"/>
    </xf>
    <xf numFmtId="0" fontId="28" fillId="12" borderId="9" xfId="0" applyFont="1" applyFill="1" applyBorder="1" applyAlignment="1">
      <alignment horizontal="left" vertical="center" wrapText="1" indent="3"/>
    </xf>
    <xf numFmtId="3" fontId="34" fillId="12" borderId="2" xfId="0" applyNumberFormat="1" applyFont="1" applyFill="1" applyBorder="1" applyAlignment="1">
      <alignment horizontal="left" vertical="center"/>
    </xf>
    <xf numFmtId="0" fontId="37" fillId="12" borderId="47" xfId="0" applyFont="1" applyFill="1" applyBorder="1" applyAlignment="1">
      <alignment horizontal="center" vertical="center"/>
    </xf>
    <xf numFmtId="0" fontId="37" fillId="12" borderId="46" xfId="0" applyFont="1" applyFill="1" applyBorder="1" applyAlignment="1">
      <alignment horizontal="center" vertical="center"/>
    </xf>
    <xf numFmtId="0" fontId="37" fillId="12" borderId="45" xfId="0" applyFont="1" applyFill="1" applyBorder="1" applyAlignment="1">
      <alignment horizontal="center" vertical="center"/>
    </xf>
    <xf numFmtId="0" fontId="37" fillId="12" borderId="22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7" fillId="12" borderId="20" xfId="0" applyFont="1" applyFill="1" applyBorder="1" applyAlignment="1">
      <alignment horizontal="center" vertical="center"/>
    </xf>
    <xf numFmtId="0" fontId="28" fillId="12" borderId="44" xfId="0" applyFont="1" applyFill="1" applyBorder="1" applyAlignment="1">
      <alignment horizontal="left" vertical="center"/>
    </xf>
    <xf numFmtId="0" fontId="28" fillId="12" borderId="43" xfId="0" applyFont="1" applyFill="1" applyBorder="1" applyAlignment="1">
      <alignment horizontal="left" vertical="center"/>
    </xf>
    <xf numFmtId="0" fontId="28" fillId="12" borderId="42" xfId="0" applyFont="1" applyFill="1" applyBorder="1" applyAlignment="1">
      <alignment horizontal="left" vertical="center"/>
    </xf>
    <xf numFmtId="3" fontId="36" fillId="12" borderId="41" xfId="0" applyNumberFormat="1" applyFont="1" applyFill="1" applyBorder="1" applyAlignment="1">
      <alignment horizontal="center" vertical="center"/>
    </xf>
    <xf numFmtId="3" fontId="36" fillId="12" borderId="40" xfId="0" applyNumberFormat="1" applyFont="1" applyFill="1" applyBorder="1" applyAlignment="1">
      <alignment horizontal="center" vertical="center"/>
    </xf>
    <xf numFmtId="4" fontId="36" fillId="12" borderId="41" xfId="0" applyNumberFormat="1" applyFont="1" applyFill="1" applyBorder="1" applyAlignment="1">
      <alignment horizontal="center" vertical="center"/>
    </xf>
    <xf numFmtId="4" fontId="36" fillId="12" borderId="40" xfId="0" applyNumberFormat="1" applyFont="1" applyFill="1" applyBorder="1" applyAlignment="1">
      <alignment horizontal="center" vertical="center"/>
    </xf>
    <xf numFmtId="0" fontId="28" fillId="12" borderId="8" xfId="0" applyFont="1" applyFill="1" applyBorder="1" applyAlignment="1">
      <alignment horizontal="left"/>
    </xf>
    <xf numFmtId="0" fontId="28" fillId="12" borderId="7" xfId="0" applyFont="1" applyFill="1" applyBorder="1" applyAlignment="1">
      <alignment horizontal="left"/>
    </xf>
    <xf numFmtId="167" fontId="36" fillId="12" borderId="7" xfId="0" applyNumberFormat="1" applyFont="1" applyFill="1" applyBorder="1" applyAlignment="1">
      <alignment horizontal="center" vertical="center"/>
    </xf>
    <xf numFmtId="167" fontId="36" fillId="12" borderId="6" xfId="0" applyNumberFormat="1" applyFont="1" applyFill="1" applyBorder="1" applyAlignment="1">
      <alignment horizontal="center" vertical="center"/>
    </xf>
    <xf numFmtId="0" fontId="28" fillId="12" borderId="39" xfId="0" applyFont="1" applyFill="1" applyBorder="1" applyAlignment="1">
      <alignment horizontal="left"/>
    </xf>
    <xf numFmtId="0" fontId="28" fillId="12" borderId="38" xfId="0" applyFont="1" applyFill="1" applyBorder="1" applyAlignment="1">
      <alignment horizontal="left"/>
    </xf>
    <xf numFmtId="0" fontId="28" fillId="12" borderId="19" xfId="0" applyFont="1" applyFill="1" applyBorder="1" applyAlignment="1">
      <alignment horizontal="left"/>
    </xf>
    <xf numFmtId="168" fontId="36" fillId="12" borderId="7" xfId="0" applyNumberFormat="1" applyFont="1" applyFill="1" applyBorder="1" applyAlignment="1">
      <alignment horizontal="center" vertical="center"/>
    </xf>
    <xf numFmtId="168" fontId="36" fillId="12" borderId="6" xfId="0" applyNumberFormat="1" applyFont="1" applyFill="1" applyBorder="1" applyAlignment="1">
      <alignment horizontal="center" vertical="center"/>
    </xf>
    <xf numFmtId="0" fontId="34" fillId="12" borderId="10" xfId="0" applyFont="1" applyFill="1" applyBorder="1" applyAlignment="1">
      <alignment horizontal="left"/>
    </xf>
    <xf numFmtId="0" fontId="34" fillId="12" borderId="1" xfId="0" applyFont="1" applyFill="1" applyBorder="1" applyAlignment="1">
      <alignment horizontal="left"/>
    </xf>
    <xf numFmtId="0" fontId="34" fillId="12" borderId="9" xfId="0" applyFont="1" applyFill="1" applyBorder="1" applyAlignment="1">
      <alignment horizontal="left"/>
    </xf>
    <xf numFmtId="0" fontId="28" fillId="12" borderId="10" xfId="0" applyFont="1" applyFill="1" applyBorder="1" applyAlignment="1">
      <alignment horizontal="left" vertical="center" indent="3"/>
    </xf>
    <xf numFmtId="0" fontId="28" fillId="12" borderId="1" xfId="0" applyFont="1" applyFill="1" applyBorder="1" applyAlignment="1">
      <alignment horizontal="left" vertical="center" indent="3"/>
    </xf>
    <xf numFmtId="0" fontId="28" fillId="12" borderId="9" xfId="0" applyFont="1" applyFill="1" applyBorder="1" applyAlignment="1">
      <alignment horizontal="left" vertical="center" indent="3"/>
    </xf>
    <xf numFmtId="0" fontId="28" fillId="12" borderId="15" xfId="0" applyFont="1" applyFill="1" applyBorder="1" applyAlignment="1">
      <alignment horizontal="left" vertical="center"/>
    </xf>
    <xf numFmtId="0" fontId="28" fillId="12" borderId="14" xfId="0" applyFont="1" applyFill="1" applyBorder="1" applyAlignment="1">
      <alignment horizontal="left" vertical="center"/>
    </xf>
    <xf numFmtId="0" fontId="28" fillId="12" borderId="13" xfId="0" applyFont="1" applyFill="1" applyBorder="1" applyAlignment="1">
      <alignment horizontal="left" vertical="center"/>
    </xf>
    <xf numFmtId="0" fontId="28" fillId="12" borderId="12" xfId="0" applyFont="1" applyFill="1" applyBorder="1" applyAlignment="1">
      <alignment horizontal="left" vertical="center"/>
    </xf>
    <xf numFmtId="0" fontId="28" fillId="12" borderId="11" xfId="0" applyFont="1" applyFill="1" applyBorder="1" applyAlignment="1">
      <alignment horizontal="left" vertical="center"/>
    </xf>
    <xf numFmtId="0" fontId="28" fillId="12" borderId="33" xfId="0" applyFont="1" applyFill="1" applyBorder="1" applyAlignment="1">
      <alignment horizontal="left" vertical="center"/>
    </xf>
    <xf numFmtId="0" fontId="28" fillId="12" borderId="10" xfId="0" applyFont="1" applyFill="1" applyBorder="1" applyAlignment="1">
      <alignment horizontal="left"/>
    </xf>
    <xf numFmtId="0" fontId="28" fillId="12" borderId="1" xfId="0" applyFont="1" applyFill="1" applyBorder="1" applyAlignment="1">
      <alignment horizontal="left"/>
    </xf>
    <xf numFmtId="0" fontId="28" fillId="12" borderId="9" xfId="0" applyFont="1" applyFill="1" applyBorder="1" applyAlignment="1">
      <alignment horizontal="left"/>
    </xf>
    <xf numFmtId="0" fontId="28" fillId="12" borderId="8" xfId="0" applyFont="1" applyFill="1" applyBorder="1" applyAlignment="1">
      <alignment horizontal="left" vertical="center"/>
    </xf>
    <xf numFmtId="0" fontId="28" fillId="12" borderId="7" xfId="0" applyFont="1" applyFill="1" applyBorder="1" applyAlignment="1">
      <alignment horizontal="left" vertical="center"/>
    </xf>
    <xf numFmtId="0" fontId="28" fillId="12" borderId="6" xfId="0" applyFont="1" applyFill="1" applyBorder="1" applyAlignment="1">
      <alignment horizontal="left" vertical="center"/>
    </xf>
    <xf numFmtId="0" fontId="28" fillId="12" borderId="15" xfId="0" applyFont="1" applyFill="1" applyBorder="1" applyAlignment="1">
      <alignment horizontal="left" vertical="center" indent="2"/>
    </xf>
    <xf numFmtId="0" fontId="28" fillId="12" borderId="14" xfId="0" applyFont="1" applyFill="1" applyBorder="1" applyAlignment="1">
      <alignment horizontal="left" vertical="center" indent="2"/>
    </xf>
    <xf numFmtId="0" fontId="28" fillId="12" borderId="13" xfId="0" applyFont="1" applyFill="1" applyBorder="1" applyAlignment="1">
      <alignment horizontal="left" vertical="center" indent="2"/>
    </xf>
    <xf numFmtId="0" fontId="28" fillId="12" borderId="8" xfId="0" applyFont="1" applyFill="1" applyBorder="1" applyAlignment="1">
      <alignment horizontal="left" vertical="center" indent="2"/>
    </xf>
    <xf numFmtId="0" fontId="28" fillId="12" borderId="7" xfId="0" applyFont="1" applyFill="1" applyBorder="1" applyAlignment="1">
      <alignment horizontal="left" vertical="center" indent="2"/>
    </xf>
    <xf numFmtId="0" fontId="28" fillId="12" borderId="6" xfId="0" applyFont="1" applyFill="1" applyBorder="1" applyAlignment="1">
      <alignment horizontal="left" vertical="center" indent="2"/>
    </xf>
    <xf numFmtId="0" fontId="34" fillId="12" borderId="37" xfId="0" applyFont="1" applyFill="1" applyBorder="1" applyAlignment="1">
      <alignment horizontal="left"/>
    </xf>
    <xf numFmtId="0" fontId="34" fillId="12" borderId="35" xfId="0" applyFont="1" applyFill="1" applyBorder="1" applyAlignment="1">
      <alignment horizontal="left"/>
    </xf>
    <xf numFmtId="0" fontId="34" fillId="12" borderId="34" xfId="0" applyFont="1" applyFill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/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2" borderId="10" xfId="0" applyFill="1" applyBorder="1" applyAlignment="1"/>
    <xf numFmtId="0" fontId="0" fillId="0" borderId="9" xfId="0" applyBorder="1" applyAlignment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2" borderId="9" xfId="0" applyFill="1" applyBorder="1" applyAlignment="1"/>
  </cellXfs>
  <cellStyles count="5">
    <cellStyle name="Гиперссылка" xfId="3" builtinId="8"/>
    <cellStyle name="Обычный" xfId="0" builtinId="0"/>
    <cellStyle name="Обычный 2" xfId="2"/>
    <cellStyle name="Процентный" xfId="1" builtinId="5"/>
    <cellStyle name="Финансовый 2" xfId="4"/>
  </cellStyles>
  <dxfs count="303"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b/>
        <i/>
        <u/>
        <color auto="1"/>
      </font>
      <fill>
        <patternFill>
          <bgColor theme="0" tint="-0.24994659260841701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1344553848854"/>
          <c:y val="0.15081074300475197"/>
          <c:w val="0.85703894657869228"/>
          <c:h val="0.71956836398054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'[1]Фінансовий потік'!$C$40</c:f>
              <c:strCache>
                <c:ptCount val="1"/>
                <c:pt idx="0">
                  <c:v>Накопичуваний дисконтований грошовий потік, тис.грн.</c:v>
                </c:pt>
              </c:strCache>
            </c:strRef>
          </c:tx>
          <c:spPr>
            <a:ln w="34925"/>
          </c:spPr>
          <c:invertIfNegative val="0"/>
          <c:cat>
            <c:numRef>
              <c:f>'[1]Фінансовий потік'!$F$16:$Z$16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'[1]Фінансовий потік'!$F$40:$Z$40</c:f>
              <c:numCache>
                <c:formatCode>General</c:formatCode>
                <c:ptCount val="21"/>
                <c:pt idx="0">
                  <c:v>-1852.6880000000001</c:v>
                </c:pt>
                <c:pt idx="1">
                  <c:v>-1720.6127321275421</c:v>
                </c:pt>
                <c:pt idx="2">
                  <c:v>-1562.1224106805926</c:v>
                </c:pt>
                <c:pt idx="3">
                  <c:v>-1371.934024944253</c:v>
                </c:pt>
                <c:pt idx="4">
                  <c:v>-1200.4500318021221</c:v>
                </c:pt>
                <c:pt idx="5">
                  <c:v>-1047.1016811418781</c:v>
                </c:pt>
                <c:pt idx="6">
                  <c:v>-910.83802164364329</c:v>
                </c:pt>
                <c:pt idx="7">
                  <c:v>-790.24194322716482</c:v>
                </c:pt>
                <c:pt idx="8">
                  <c:v>-683.49208441154155</c:v>
                </c:pt>
                <c:pt idx="9">
                  <c:v>-588.98199735529136</c:v>
                </c:pt>
                <c:pt idx="10">
                  <c:v>-505.29428645955261</c:v>
                </c:pt>
                <c:pt idx="11">
                  <c:v>-431.17793718307337</c:v>
                </c:pt>
                <c:pt idx="12">
                  <c:v>-365.52842959267093</c:v>
                </c:pt>
                <c:pt idx="13">
                  <c:v>-307.37028448649846</c:v>
                </c:pt>
                <c:pt idx="14">
                  <c:v>-255.84173597432903</c:v>
                </c:pt>
                <c:pt idx="15">
                  <c:v>-210.18126420552795</c:v>
                </c:pt>
                <c:pt idx="16">
                  <c:v>-169.71575637799711</c:v>
                </c:pt>
                <c:pt idx="17">
                  <c:v>-133.85009398939525</c:v>
                </c:pt>
                <c:pt idx="18">
                  <c:v>-102.05799014635404</c:v>
                </c:pt>
                <c:pt idx="19">
                  <c:v>-73.873923177052603</c:v>
                </c:pt>
                <c:pt idx="20">
                  <c:v>-48.886032267727728</c:v>
                </c:pt>
              </c:numCache>
            </c:numRef>
          </c:val>
        </c:ser>
        <c:ser>
          <c:idx val="1"/>
          <c:order val="1"/>
          <c:tx>
            <c:strRef>
              <c:f>'[1]Фінансовий потік'!$C$38</c:f>
              <c:strCache>
                <c:ptCount val="1"/>
                <c:pt idx="0">
                  <c:v>Чистий дисконтований грошовий потік, тис.грн.</c:v>
                </c:pt>
              </c:strCache>
            </c:strRef>
          </c:tx>
          <c:invertIfNegative val="0"/>
          <c:val>
            <c:numRef>
              <c:f>'[1]Фінансовий потік'!$F$38:$Z$38</c:f>
              <c:numCache>
                <c:formatCode>General</c:formatCode>
                <c:ptCount val="21"/>
                <c:pt idx="0">
                  <c:v>-1852.6880000000001</c:v>
                </c:pt>
                <c:pt idx="1">
                  <c:v>132.07526787245797</c:v>
                </c:pt>
                <c:pt idx="2">
                  <c:v>158.49032144694957</c:v>
                </c:pt>
                <c:pt idx="3">
                  <c:v>190.18838573633946</c:v>
                </c:pt>
                <c:pt idx="4">
                  <c:v>171.48399314213086</c:v>
                </c:pt>
                <c:pt idx="5">
                  <c:v>153.34835066024399</c:v>
                </c:pt>
                <c:pt idx="6">
                  <c:v>136.26365949823486</c:v>
                </c:pt>
                <c:pt idx="7">
                  <c:v>120.59607841647846</c:v>
                </c:pt>
                <c:pt idx="8">
                  <c:v>106.74985881562323</c:v>
                </c:pt>
                <c:pt idx="9">
                  <c:v>94.510087056250185</c:v>
                </c:pt>
                <c:pt idx="10">
                  <c:v>83.687710895738718</c:v>
                </c:pt>
                <c:pt idx="11">
                  <c:v>74.116349276479227</c:v>
                </c:pt>
                <c:pt idx="12">
                  <c:v>65.649507590402408</c:v>
                </c:pt>
                <c:pt idx="13">
                  <c:v>58.158145106172441</c:v>
                </c:pt>
                <c:pt idx="14">
                  <c:v>51.528548512169429</c:v>
                </c:pt>
                <c:pt idx="15">
                  <c:v>45.660471768801067</c:v>
                </c:pt>
                <c:pt idx="16">
                  <c:v>40.46550782753085</c:v>
                </c:pt>
                <c:pt idx="17">
                  <c:v>35.865662388601869</c:v>
                </c:pt>
                <c:pt idx="18">
                  <c:v>31.792103843041208</c:v>
                </c:pt>
                <c:pt idx="19">
                  <c:v>28.184066969301444</c:v>
                </c:pt>
                <c:pt idx="20">
                  <c:v>24.987890909324875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2096"/>
        <c:axId val="113677056"/>
      </c:barChart>
      <c:lineChart>
        <c:grouping val="standard"/>
        <c:varyColors val="0"/>
        <c:ser>
          <c:idx val="2"/>
          <c:order val="2"/>
          <c:tx>
            <c:strRef>
              <c:f>'[1]Фінансовий потік'!$C$18</c:f>
              <c:strCache>
                <c:ptCount val="1"/>
                <c:pt idx="0">
                  <c:v>Всього економія ПЕР, тис.грн.</c:v>
                </c:pt>
              </c:strCache>
            </c:strRef>
          </c:tx>
          <c:spPr>
            <a:ln w="22225"/>
          </c:spPr>
          <c:marker>
            <c:symbol val="x"/>
            <c:size val="7"/>
          </c:marker>
          <c:val>
            <c:numRef>
              <c:f>'[1]Фінансовий потік'!$F$18:$Z$18</c:f>
              <c:numCache>
                <c:formatCode>General</c:formatCode>
                <c:ptCount val="21"/>
                <c:pt idx="0">
                  <c:v>0</c:v>
                </c:pt>
                <c:pt idx="1">
                  <c:v>165.09408484057246</c:v>
                </c:pt>
                <c:pt idx="2">
                  <c:v>247.6411272608587</c:v>
                </c:pt>
                <c:pt idx="3">
                  <c:v>371.46169089128801</c:v>
                </c:pt>
                <c:pt idx="4">
                  <c:v>418.66209263215541</c:v>
                </c:pt>
                <c:pt idx="5">
                  <c:v>467.98202716138911</c:v>
                </c:pt>
                <c:pt idx="6">
                  <c:v>519.80460929197261</c:v>
                </c:pt>
                <c:pt idx="7">
                  <c:v>575.04691322554811</c:v>
                </c:pt>
                <c:pt idx="8">
                  <c:v>636.27874145283238</c:v>
                </c:pt>
                <c:pt idx="9">
                  <c:v>704.15502083487945</c:v>
                </c:pt>
                <c:pt idx="10">
                  <c:v>779.40254375095219</c:v>
                </c:pt>
                <c:pt idx="11">
                  <c:v>862.82786536588367</c:v>
                </c:pt>
                <c:pt idx="12">
                  <c:v>955.32606923956212</c:v>
                </c:pt>
                <c:pt idx="13">
                  <c:v>1057.8904967800997</c:v>
                </c:pt>
                <c:pt idx="14">
                  <c:v>1171.623546546685</c:v>
                </c:pt>
                <c:pt idx="15">
                  <c:v>1297.7486610680292</c:v>
                </c:pt>
                <c:pt idx="16">
                  <c:v>1437.6236317847759</c:v>
                </c:pt>
                <c:pt idx="17">
                  <c:v>1592.7553670903312</c:v>
                </c:pt>
                <c:pt idx="18">
                  <c:v>1764.8162843909136</c:v>
                </c:pt>
                <c:pt idx="19">
                  <c:v>1955.6625048059886</c:v>
                </c:pt>
                <c:pt idx="20">
                  <c:v>2167.3540487776654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72096"/>
        <c:axId val="113677056"/>
      </c:lineChart>
      <c:catAx>
        <c:axId val="1135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200" b="1">
                <a:latin typeface="+mj-lt"/>
              </a:defRPr>
            </a:pPr>
            <a:endParaRPr lang="ru-RU"/>
          </a:p>
        </c:txPr>
        <c:crossAx val="113677056"/>
        <c:crosses val="autoZero"/>
        <c:auto val="1"/>
        <c:lblAlgn val="ctr"/>
        <c:lblOffset val="100"/>
        <c:noMultiLvlLbl val="0"/>
      </c:catAx>
      <c:valAx>
        <c:axId val="113677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i="0">
                    <a:latin typeface="Arial" pitchFamily="34" charset="0"/>
                    <a:cs typeface="Arial" pitchFamily="34" charset="0"/>
                  </a:defRPr>
                </a:pPr>
                <a:r>
                  <a:rPr lang="ru-RU" sz="1200" i="0">
                    <a:latin typeface="Arial" pitchFamily="34" charset="0"/>
                    <a:cs typeface="Arial" pitchFamily="34" charset="0"/>
                  </a:rPr>
                  <a:t>Грошовий потік, тис.грн.</a:t>
                </a:r>
              </a:p>
            </c:rich>
          </c:tx>
          <c:layout>
            <c:manualLayout>
              <c:xMode val="edge"/>
              <c:yMode val="edge"/>
              <c:x val="2.8339602272240455E-3"/>
              <c:y val="0.127678339818417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1135720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"/>
          <c:y val="0"/>
          <c:w val="0.99656935790630308"/>
          <c:h val="9.6996464416299596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'Порівняння платежів'!$C$2</c:f>
              <c:strCache>
                <c:ptCount val="1"/>
                <c:pt idx="0">
                  <c:v>Приблизні грошові витрати за опалювальний період без модернізації будівель, грн</c:v>
                </c:pt>
              </c:strCache>
            </c:strRef>
          </c:tx>
          <c:invertIfNegative val="0"/>
          <c:cat>
            <c:strRef>
              <c:f>'Порівняння платежів'!$A$3:$A$32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платежів'!$C$3:$C$32</c:f>
              <c:numCache>
                <c:formatCode>#,##0</c:formatCode>
                <c:ptCount val="30"/>
                <c:pt idx="1">
                  <c:v>520098.712446352</c:v>
                </c:pt>
                <c:pt idx="4">
                  <c:v>780148.06866952789</c:v>
                </c:pt>
                <c:pt idx="7">
                  <c:v>1170222.1030042919</c:v>
                </c:pt>
                <c:pt idx="10">
                  <c:v>1170222.1030042919</c:v>
                </c:pt>
                <c:pt idx="13">
                  <c:v>1170222.1030042919</c:v>
                </c:pt>
                <c:pt idx="16">
                  <c:v>1170222.1030042919</c:v>
                </c:pt>
                <c:pt idx="19">
                  <c:v>1170222.1030042919</c:v>
                </c:pt>
                <c:pt idx="22">
                  <c:v>1170222.1030042919</c:v>
                </c:pt>
                <c:pt idx="25">
                  <c:v>1170222.1030042919</c:v>
                </c:pt>
                <c:pt idx="28">
                  <c:v>1170222.1030042919</c:v>
                </c:pt>
              </c:numCache>
            </c:numRef>
          </c:val>
        </c:ser>
        <c:ser>
          <c:idx val="1"/>
          <c:order val="1"/>
          <c:tx>
            <c:strRef>
              <c:f>'Порівняння платежів'!$D$2</c:f>
              <c:strCache>
                <c:ptCount val="1"/>
                <c:pt idx="0">
                  <c:v>Приблизні грошові витрати за опалювальний період після модернізації будівель, грн</c:v>
                </c:pt>
              </c:strCache>
            </c:strRef>
          </c:tx>
          <c:invertIfNegative val="0"/>
          <c:cat>
            <c:strRef>
              <c:f>'Порівняння платежів'!$A$3:$A$32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платежів'!$D$3:$D$32</c:f>
              <c:numCache>
                <c:formatCode>#,##0</c:formatCode>
                <c:ptCount val="30"/>
                <c:pt idx="2">
                  <c:v>239245.40772532194</c:v>
                </c:pt>
                <c:pt idx="5">
                  <c:v>358868.11158798286</c:v>
                </c:pt>
                <c:pt idx="8">
                  <c:v>538302.16738197417</c:v>
                </c:pt>
                <c:pt idx="11">
                  <c:v>538302.16738197417</c:v>
                </c:pt>
                <c:pt idx="14">
                  <c:v>538302.16738197429</c:v>
                </c:pt>
                <c:pt idx="17">
                  <c:v>538302.16738197429</c:v>
                </c:pt>
                <c:pt idx="20">
                  <c:v>538302.16738197429</c:v>
                </c:pt>
                <c:pt idx="23">
                  <c:v>538302.16738197429</c:v>
                </c:pt>
                <c:pt idx="26">
                  <c:v>538302.16738197429</c:v>
                </c:pt>
                <c:pt idx="29">
                  <c:v>538302.16738197429</c:v>
                </c:pt>
              </c:numCache>
            </c:numRef>
          </c:val>
        </c:ser>
        <c:ser>
          <c:idx val="2"/>
          <c:order val="2"/>
          <c:tx>
            <c:strRef>
              <c:f>'Порівняння платежів'!$E$2</c:f>
              <c:strCache>
                <c:ptCount val="1"/>
                <c:pt idx="0">
                  <c:v>Повернення кредиту, грн</c:v>
                </c:pt>
              </c:strCache>
            </c:strRef>
          </c:tx>
          <c:invertIfNegative val="0"/>
          <c:cat>
            <c:strRef>
              <c:f>'Порівняння платежів'!$A$3:$A$32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платежів'!$E$3:$E$32</c:f>
              <c:numCache>
                <c:formatCode>#,##0</c:formatCode>
                <c:ptCount val="30"/>
                <c:pt idx="2">
                  <c:v>1867467.1402825245</c:v>
                </c:pt>
                <c:pt idx="5">
                  <c:v>1867467.1402825245</c:v>
                </c:pt>
                <c:pt idx="8">
                  <c:v>1867467.1402825245</c:v>
                </c:pt>
                <c:pt idx="11">
                  <c:v>1867467.1402825245</c:v>
                </c:pt>
                <c:pt idx="14">
                  <c:v>1867467.1402825245</c:v>
                </c:pt>
                <c:pt idx="17">
                  <c:v>0</c:v>
                </c:pt>
                <c:pt idx="20">
                  <c:v>0</c:v>
                </c:pt>
                <c:pt idx="23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'Порівняння платежів'!$F$2</c:f>
              <c:strCache>
                <c:ptCount val="1"/>
                <c:pt idx="0">
                  <c:v>Внесок ОСББ та разова комісія, грн</c:v>
                </c:pt>
              </c:strCache>
            </c:strRef>
          </c:tx>
          <c:invertIfNegative val="0"/>
          <c:cat>
            <c:strRef>
              <c:f>'Порівняння платежів'!$A$3:$A$32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платежів'!$F$3:$F$32</c:f>
              <c:numCache>
                <c:formatCode>#,##0</c:formatCode>
                <c:ptCount val="30"/>
                <c:pt idx="0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978752"/>
        <c:axId val="131980288"/>
      </c:barChart>
      <c:catAx>
        <c:axId val="13197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31980288"/>
        <c:crosses val="autoZero"/>
        <c:auto val="1"/>
        <c:lblAlgn val="ctr"/>
        <c:lblOffset val="100"/>
        <c:noMultiLvlLbl val="0"/>
      </c:catAx>
      <c:valAx>
        <c:axId val="13198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978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'Порівняння платежів'!$C$33</c:f>
              <c:strCache>
                <c:ptCount val="1"/>
                <c:pt idx="0">
                  <c:v>Без термомодернізації</c:v>
                </c:pt>
              </c:strCache>
            </c:strRef>
          </c:tx>
          <c:cat>
            <c:strRef>
              <c:f>'Порівняння платежів'!$A$34:$A$43</c:f>
              <c:strCache>
                <c:ptCount val="10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  <c:pt idx="9">
                  <c:v>2024/2025</c:v>
                </c:pt>
              </c:strCache>
            </c:strRef>
          </c:cat>
          <c:val>
            <c:numRef>
              <c:f>'Порівняння платежів'!$C$34:$C$43</c:f>
              <c:numCache>
                <c:formatCode>#,##0</c:formatCode>
                <c:ptCount val="10"/>
                <c:pt idx="0">
                  <c:v>520098.712446352</c:v>
                </c:pt>
                <c:pt idx="1">
                  <c:v>780148.06866952789</c:v>
                </c:pt>
                <c:pt idx="2">
                  <c:v>1170222.1030042919</c:v>
                </c:pt>
                <c:pt idx="3">
                  <c:v>1170222.1030042919</c:v>
                </c:pt>
                <c:pt idx="4">
                  <c:v>1170222.1030042919</c:v>
                </c:pt>
                <c:pt idx="5">
                  <c:v>1170222.1030042919</c:v>
                </c:pt>
                <c:pt idx="6">
                  <c:v>1170222.1030042919</c:v>
                </c:pt>
                <c:pt idx="7">
                  <c:v>1170222.1030042919</c:v>
                </c:pt>
                <c:pt idx="8">
                  <c:v>1170222.1030042919</c:v>
                </c:pt>
                <c:pt idx="9">
                  <c:v>1170222.1030042919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'Порівняння платежів'!$D$33</c:f>
              <c:strCache>
                <c:ptCount val="1"/>
                <c:pt idx="0">
                  <c:v>З термомодернізацією</c:v>
                </c:pt>
              </c:strCache>
            </c:strRef>
          </c:tx>
          <c:cat>
            <c:strRef>
              <c:f>'Порівняння платежів'!$A$34:$A$43</c:f>
              <c:strCache>
                <c:ptCount val="10"/>
                <c:pt idx="0">
                  <c:v>2015/2016</c:v>
                </c:pt>
                <c:pt idx="1">
                  <c:v>2016/2017</c:v>
                </c:pt>
                <c:pt idx="2">
                  <c:v>2017/2018</c:v>
                </c:pt>
                <c:pt idx="3">
                  <c:v>2018/2019</c:v>
                </c:pt>
                <c:pt idx="4">
                  <c:v>2019/2020</c:v>
                </c:pt>
                <c:pt idx="5">
                  <c:v>2020/2021</c:v>
                </c:pt>
                <c:pt idx="6">
                  <c:v>2021/2022</c:v>
                </c:pt>
                <c:pt idx="7">
                  <c:v>2022/2023</c:v>
                </c:pt>
                <c:pt idx="8">
                  <c:v>2023/2024</c:v>
                </c:pt>
                <c:pt idx="9">
                  <c:v>2024/2025</c:v>
                </c:pt>
              </c:strCache>
            </c:strRef>
          </c:cat>
          <c:val>
            <c:numRef>
              <c:f>'Порівняння платежів'!$D$34:$D$43</c:f>
              <c:numCache>
                <c:formatCode>#,##0</c:formatCode>
                <c:ptCount val="10"/>
                <c:pt idx="0">
                  <c:v>2106712.5480078463</c:v>
                </c:pt>
                <c:pt idx="1">
                  <c:v>2226335.2518705074</c:v>
                </c:pt>
                <c:pt idx="2">
                  <c:v>2405769.3076644987</c:v>
                </c:pt>
                <c:pt idx="3">
                  <c:v>2405769.3076644987</c:v>
                </c:pt>
                <c:pt idx="4">
                  <c:v>2405769.3076644987</c:v>
                </c:pt>
                <c:pt idx="5">
                  <c:v>538302.16738197429</c:v>
                </c:pt>
                <c:pt idx="6">
                  <c:v>538302.16738197429</c:v>
                </c:pt>
                <c:pt idx="7">
                  <c:v>538302.16738197429</c:v>
                </c:pt>
                <c:pt idx="8">
                  <c:v>538302.16738197429</c:v>
                </c:pt>
                <c:pt idx="9">
                  <c:v>538302.16738197429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03072"/>
        <c:axId val="133204608"/>
      </c:lineChart>
      <c:catAx>
        <c:axId val="133203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ru-RU"/>
          </a:p>
        </c:txPr>
        <c:crossAx val="133204608"/>
        <c:crosses val="autoZero"/>
        <c:auto val="1"/>
        <c:lblAlgn val="ctr"/>
        <c:lblOffset val="100"/>
        <c:noMultiLvlLbl val="0"/>
      </c:catAx>
      <c:valAx>
        <c:axId val="133204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32030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'Порівняння щомісячних платежів '!$C$2</c:f>
              <c:strCache>
                <c:ptCount val="1"/>
                <c:pt idx="0">
                  <c:v>Приблизні щомісячні грошові витрати за опалювальний період без модернізації будівель, грн на м2</c:v>
                </c:pt>
              </c:strCache>
            </c:strRef>
          </c:tx>
          <c:invertIfNegative val="0"/>
          <c:cat>
            <c:strRef>
              <c:f>'Порівняння щомісячних платежів 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щомісячних платежів '!$C$3:$C$32</c:f>
              <c:numCache>
                <c:formatCode>#,##0.00</c:formatCode>
                <c:ptCount val="30"/>
                <c:pt idx="1">
                  <c:v>10.056179775280901</c:v>
                </c:pt>
                <c:pt idx="4">
                  <c:v>15.084269662921349</c:v>
                </c:pt>
                <c:pt idx="7">
                  <c:v>22.626404494382026</c:v>
                </c:pt>
                <c:pt idx="10">
                  <c:v>22.626404494382026</c:v>
                </c:pt>
                <c:pt idx="13">
                  <c:v>22.626404494382026</c:v>
                </c:pt>
                <c:pt idx="16">
                  <c:v>22.626404494382026</c:v>
                </c:pt>
                <c:pt idx="19">
                  <c:v>22.626404494382026</c:v>
                </c:pt>
                <c:pt idx="22">
                  <c:v>22.626404494382026</c:v>
                </c:pt>
                <c:pt idx="25">
                  <c:v>22.626404494382026</c:v>
                </c:pt>
                <c:pt idx="28">
                  <c:v>22.626404494382026</c:v>
                </c:pt>
              </c:numCache>
            </c:numRef>
          </c:val>
        </c:ser>
        <c:ser>
          <c:idx val="1"/>
          <c:order val="1"/>
          <c:tx>
            <c:strRef>
              <c:f>'Порівняння щомісячних платежів '!$D$2</c:f>
              <c:strCache>
                <c:ptCount val="1"/>
                <c:pt idx="0">
                  <c:v>Приблизні щомісячні грошові витрати за опалювальний період після модернізації будівель, грн на м2</c:v>
                </c:pt>
              </c:strCache>
            </c:strRef>
          </c:tx>
          <c:invertIfNegative val="0"/>
          <c:cat>
            <c:strRef>
              <c:f>'Порівняння щомісячних платежів 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щомісячних платежів '!$D$3:$D$32</c:f>
              <c:numCache>
                <c:formatCode>#,##0.00</c:formatCode>
                <c:ptCount val="30"/>
                <c:pt idx="2">
                  <c:v>4.6258426966292143</c:v>
                </c:pt>
                <c:pt idx="5">
                  <c:v>6.9387640449438202</c:v>
                </c:pt>
                <c:pt idx="8">
                  <c:v>10.408146067415728</c:v>
                </c:pt>
                <c:pt idx="11">
                  <c:v>10.408146067415728</c:v>
                </c:pt>
                <c:pt idx="14">
                  <c:v>10.40814606741573</c:v>
                </c:pt>
                <c:pt idx="17">
                  <c:v>10.40814606741573</c:v>
                </c:pt>
                <c:pt idx="20">
                  <c:v>10.40814606741573</c:v>
                </c:pt>
                <c:pt idx="23">
                  <c:v>10.40814606741573</c:v>
                </c:pt>
                <c:pt idx="26">
                  <c:v>10.40814606741573</c:v>
                </c:pt>
                <c:pt idx="29">
                  <c:v>10.40814606741573</c:v>
                </c:pt>
              </c:numCache>
            </c:numRef>
          </c:val>
        </c:ser>
        <c:ser>
          <c:idx val="2"/>
          <c:order val="2"/>
          <c:tx>
            <c:strRef>
              <c:f>'Порівняння щомісячних платежів '!$E$2</c:f>
              <c:strCache>
                <c:ptCount val="1"/>
                <c:pt idx="0">
                  <c:v>Повернення кредиту, грн на м2 на міс.*</c:v>
                </c:pt>
              </c:strCache>
            </c:strRef>
          </c:tx>
          <c:invertIfNegative val="0"/>
          <c:cat>
            <c:strRef>
              <c:f>'Порівняння щомісячних платежів 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щомісячних платежів '!$E$3:$E$32</c:f>
              <c:numCache>
                <c:formatCode>#,##0.00</c:formatCode>
                <c:ptCount val="30"/>
                <c:pt idx="2">
                  <c:v>35.364677125374477</c:v>
                </c:pt>
                <c:pt idx="5">
                  <c:v>35.364677125374477</c:v>
                </c:pt>
                <c:pt idx="8">
                  <c:v>35.364677125374477</c:v>
                </c:pt>
                <c:pt idx="11">
                  <c:v>35.364677125374477</c:v>
                </c:pt>
                <c:pt idx="14">
                  <c:v>35.364677125374477</c:v>
                </c:pt>
              </c:numCache>
            </c:numRef>
          </c:val>
        </c:ser>
        <c:ser>
          <c:idx val="3"/>
          <c:order val="3"/>
          <c:tx>
            <c:strRef>
              <c:f>'Порівняння щомісячних платежів '!$F$2</c:f>
              <c:strCache>
                <c:ptCount val="1"/>
                <c:pt idx="0">
                  <c:v>Внесок ОСББ та разова комісія, грн на м2</c:v>
                </c:pt>
              </c:strCache>
            </c:strRef>
          </c:tx>
          <c:invertIfNegative val="0"/>
          <c:cat>
            <c:strRef>
              <c:f>'Порівняння щомісячних платежів '!$A$3:$A$32</c:f>
              <c:strCache>
                <c:ptCount val="28"/>
                <c:pt idx="0">
                  <c:v>2015/2016</c:v>
                </c:pt>
                <c:pt idx="3">
                  <c:v>2016/2017</c:v>
                </c:pt>
                <c:pt idx="6">
                  <c:v>2017/2018</c:v>
                </c:pt>
                <c:pt idx="9">
                  <c:v>2018/2019</c:v>
                </c:pt>
                <c:pt idx="12">
                  <c:v>2019/2020</c:v>
                </c:pt>
                <c:pt idx="15">
                  <c:v>2020/2021</c:v>
                </c:pt>
                <c:pt idx="18">
                  <c:v>2021/2022</c:v>
                </c:pt>
                <c:pt idx="21">
                  <c:v>2022/2023</c:v>
                </c:pt>
                <c:pt idx="24">
                  <c:v>2023/2024</c:v>
                </c:pt>
                <c:pt idx="27">
                  <c:v>2024/2025</c:v>
                </c:pt>
              </c:strCache>
            </c:strRef>
          </c:cat>
          <c:val>
            <c:numRef>
              <c:f>'Порівняння щомісячних платежів '!$F$3:$F$32</c:f>
              <c:numCache>
                <c:formatCode>#,##0.00</c:formatCode>
                <c:ptCount val="30"/>
                <c:pt idx="0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454912"/>
        <c:axId val="98456704"/>
      </c:barChart>
      <c:dateAx>
        <c:axId val="98454912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kern="1000" baseline="0"/>
            </a:pPr>
            <a:endParaRPr lang="ru-RU"/>
          </a:p>
        </c:txPr>
        <c:crossAx val="98456704"/>
        <c:crosses val="autoZero"/>
        <c:auto val="0"/>
        <c:lblOffset val="100"/>
        <c:baseTimeUnit val="days"/>
      </c:dateAx>
      <c:valAx>
        <c:axId val="9845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454912"/>
        <c:crossesAt val="1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G$22" lockText="1" noThreeD="1"/>
</file>

<file path=xl/ctrlProps/ctrlProp10.xml><?xml version="1.0" encoding="utf-8"?>
<formControlPr xmlns="http://schemas.microsoft.com/office/spreadsheetml/2009/9/main" objectType="Drop" dropLines="10" dropStyle="combo" dx="16" fmlaLink="Регіони!$H$2" fmlaRange="Регіони!$B$3:$B$27" sel="16" val="15"/>
</file>

<file path=xl/ctrlProps/ctrlProp11.xml><?xml version="1.0" encoding="utf-8"?>
<formControlPr xmlns="http://schemas.microsoft.com/office/spreadsheetml/2009/9/main" objectType="Drop" dropLines="10" dropStyle="combo" dx="16" fmlaLink="ОСББ!$H$1" fmlaRange="ОСББ!$B$2:$B$10" sel="3" val="0"/>
</file>

<file path=xl/ctrlProps/ctrlProp12.xml><?xml version="1.0" encoding="utf-8"?>
<formControlPr xmlns="http://schemas.microsoft.com/office/spreadsheetml/2009/9/main" objectType="Drop" dropLines="3" dropStyle="combo" dx="16" fmlaLink="'Умови кредитування'!$G$2" fmlaRange="'Умови кредитування'!$B$2:$B$4" noThreeD="1" sel="3" val="0"/>
</file>

<file path=xl/ctrlProps/ctrlProp2.xml><?xml version="1.0" encoding="utf-8"?>
<formControlPr xmlns="http://schemas.microsoft.com/office/spreadsheetml/2009/9/main" objectType="CheckBox" checked="Checked" fmlaLink="$G$23" lockText="1" noThreeD="1"/>
</file>

<file path=xl/ctrlProps/ctrlProp3.xml><?xml version="1.0" encoding="utf-8"?>
<formControlPr xmlns="http://schemas.microsoft.com/office/spreadsheetml/2009/9/main" objectType="CheckBox" checked="Checked" fmlaLink="$G$24" lockText="1" noThreeD="1"/>
</file>

<file path=xl/ctrlProps/ctrlProp4.xml><?xml version="1.0" encoding="utf-8"?>
<formControlPr xmlns="http://schemas.microsoft.com/office/spreadsheetml/2009/9/main" objectType="CheckBox" checked="Checked" fmlaLink="$G$25" lockText="1" noThreeD="1"/>
</file>

<file path=xl/ctrlProps/ctrlProp5.xml><?xml version="1.0" encoding="utf-8"?>
<formControlPr xmlns="http://schemas.microsoft.com/office/spreadsheetml/2009/9/main" objectType="CheckBox" checked="Checked" fmlaLink="$G$26" lockText="1" noThreeD="1"/>
</file>

<file path=xl/ctrlProps/ctrlProp6.xml><?xml version="1.0" encoding="utf-8"?>
<formControlPr xmlns="http://schemas.microsoft.com/office/spreadsheetml/2009/9/main" objectType="CheckBox" checked="Checked" fmlaLink="$G$27" lockText="1" noThreeD="1"/>
</file>

<file path=xl/ctrlProps/ctrlProp7.xml><?xml version="1.0" encoding="utf-8"?>
<formControlPr xmlns="http://schemas.microsoft.com/office/spreadsheetml/2009/9/main" objectType="CheckBox" checked="Checked" fmlaLink="$G$28" lockText="1" noThreeD="1"/>
</file>

<file path=xl/ctrlProps/ctrlProp8.xml><?xml version="1.0" encoding="utf-8"?>
<formControlPr xmlns="http://schemas.microsoft.com/office/spreadsheetml/2009/9/main" objectType="CheckBox" checked="Checked" fmlaLink="$G$29" lockText="1" noThreeD="1"/>
</file>

<file path=xl/ctrlProps/ctrlProp9.xml><?xml version="1.0" encoding="utf-8"?>
<formControlPr xmlns="http://schemas.microsoft.com/office/spreadsheetml/2009/9/main" objectType="CheckBox" checked="Checked" fmlaLink="$G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2384425</xdr:colOff>
      <xdr:row>88</xdr:row>
      <xdr:rowOff>209549</xdr:rowOff>
    </xdr:from>
    <xdr:to>
      <xdr:col>2</xdr:col>
      <xdr:colOff>171450</xdr:colOff>
      <xdr:row>107</xdr:row>
      <xdr:rowOff>22754</xdr:rowOff>
    </xdr:to>
    <xdr:pic>
      <xdr:nvPicPr>
        <xdr:cNvPr id="2" name="Picture 25" descr="http://ilikenews.com/sites/default/files/field/image/munc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775" y="17335499"/>
          <a:ext cx="1158875" cy="345175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20</xdr:row>
          <xdr:rowOff>180975</xdr:rowOff>
        </xdr:from>
        <xdr:to>
          <xdr:col>1</xdr:col>
          <xdr:colOff>857250</xdr:colOff>
          <xdr:row>21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22</xdr:row>
          <xdr:rowOff>9525</xdr:rowOff>
        </xdr:from>
        <xdr:to>
          <xdr:col>1</xdr:col>
          <xdr:colOff>857250</xdr:colOff>
          <xdr:row>23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23</xdr:row>
          <xdr:rowOff>19050</xdr:rowOff>
        </xdr:from>
        <xdr:to>
          <xdr:col>1</xdr:col>
          <xdr:colOff>857250</xdr:colOff>
          <xdr:row>24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24</xdr:row>
          <xdr:rowOff>0</xdr:rowOff>
        </xdr:from>
        <xdr:to>
          <xdr:col>1</xdr:col>
          <xdr:colOff>857250</xdr:colOff>
          <xdr:row>25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25</xdr:row>
          <xdr:rowOff>9525</xdr:rowOff>
        </xdr:from>
        <xdr:to>
          <xdr:col>1</xdr:col>
          <xdr:colOff>857250</xdr:colOff>
          <xdr:row>26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26</xdr:row>
          <xdr:rowOff>0</xdr:rowOff>
        </xdr:from>
        <xdr:to>
          <xdr:col>1</xdr:col>
          <xdr:colOff>857250</xdr:colOff>
          <xdr:row>27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27</xdr:row>
          <xdr:rowOff>19050</xdr:rowOff>
        </xdr:from>
        <xdr:to>
          <xdr:col>1</xdr:col>
          <xdr:colOff>857250</xdr:colOff>
          <xdr:row>28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28</xdr:row>
          <xdr:rowOff>28575</xdr:rowOff>
        </xdr:from>
        <xdr:to>
          <xdr:col>1</xdr:col>
          <xdr:colOff>857250</xdr:colOff>
          <xdr:row>29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29</xdr:row>
          <xdr:rowOff>9525</xdr:rowOff>
        </xdr:from>
        <xdr:to>
          <xdr:col>1</xdr:col>
          <xdr:colOff>857250</xdr:colOff>
          <xdr:row>30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190500</xdr:rowOff>
        </xdr:from>
        <xdr:to>
          <xdr:col>2</xdr:col>
          <xdr:colOff>457200</xdr:colOff>
          <xdr:row>8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2</xdr:col>
          <xdr:colOff>447675</xdr:colOff>
          <xdr:row>9</xdr:row>
          <xdr:rowOff>19050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4162425</xdr:colOff>
          <xdr:row>46</xdr:row>
          <xdr:rowOff>0</xdr:rowOff>
        </xdr:from>
        <xdr:to>
          <xdr:col>2</xdr:col>
          <xdr:colOff>428625</xdr:colOff>
          <xdr:row>47</xdr:row>
          <xdr:rowOff>19050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52</xdr:row>
      <xdr:rowOff>163286</xdr:rowOff>
    </xdr:from>
    <xdr:to>
      <xdr:col>25</xdr:col>
      <xdr:colOff>31297</xdr:colOff>
      <xdr:row>65</xdr:row>
      <xdr:rowOff>134711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685800</xdr:colOff>
      <xdr:row>0</xdr:row>
      <xdr:rowOff>3857625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43</xdr:row>
      <xdr:rowOff>142875</xdr:rowOff>
    </xdr:from>
    <xdr:to>
      <xdr:col>4</xdr:col>
      <xdr:colOff>1209675</xdr:colOff>
      <xdr:row>56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762001</xdr:colOff>
      <xdr:row>0</xdr:row>
      <xdr:rowOff>247650</xdr:rowOff>
    </xdr:from>
    <xdr:to>
      <xdr:col>5</xdr:col>
      <xdr:colOff>809625</xdr:colOff>
      <xdr:row>0</xdr:row>
      <xdr:rowOff>3638550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-A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ід"/>
      <sheetName val="Фінансовий потік"/>
      <sheetName val="TabUkr"/>
    </sheetNames>
    <sheetDataSet>
      <sheetData sheetId="0">
        <row r="17">
          <cell r="J17" t="str">
            <v>2015</v>
          </cell>
        </row>
      </sheetData>
      <sheetData sheetId="1">
        <row r="16">
          <cell r="F16">
            <v>0</v>
          </cell>
          <cell r="G16">
            <v>1</v>
          </cell>
          <cell r="H16">
            <v>2</v>
          </cell>
          <cell r="I16">
            <v>3</v>
          </cell>
          <cell r="J16">
            <v>4</v>
          </cell>
          <cell r="K16">
            <v>5</v>
          </cell>
          <cell r="L16">
            <v>6</v>
          </cell>
          <cell r="M16">
            <v>7</v>
          </cell>
          <cell r="N16">
            <v>8</v>
          </cell>
          <cell r="O16">
            <v>9</v>
          </cell>
          <cell r="P16">
            <v>10</v>
          </cell>
          <cell r="Q16">
            <v>11</v>
          </cell>
          <cell r="R16">
            <v>12</v>
          </cell>
          <cell r="S16">
            <v>13</v>
          </cell>
          <cell r="T16">
            <v>14</v>
          </cell>
          <cell r="U16">
            <v>15</v>
          </cell>
          <cell r="V16">
            <v>16</v>
          </cell>
          <cell r="W16">
            <v>17</v>
          </cell>
          <cell r="X16">
            <v>18</v>
          </cell>
          <cell r="Y16">
            <v>19</v>
          </cell>
          <cell r="Z16">
            <v>20</v>
          </cell>
        </row>
        <row r="18">
          <cell r="C18" t="str">
            <v>Всього економія ПЕР, тис.грн.</v>
          </cell>
          <cell r="F18" t="str">
            <v>-</v>
          </cell>
          <cell r="G18">
            <v>165.09408484057246</v>
          </cell>
          <cell r="H18">
            <v>247.6411272608587</v>
          </cell>
          <cell r="I18">
            <v>371.46169089128801</v>
          </cell>
          <cell r="J18">
            <v>418.66209263215541</v>
          </cell>
          <cell r="K18">
            <v>467.98202716138911</v>
          </cell>
          <cell r="L18">
            <v>519.80460929197261</v>
          </cell>
          <cell r="M18">
            <v>575.04691322554811</v>
          </cell>
          <cell r="N18">
            <v>636.27874145283238</v>
          </cell>
          <cell r="O18">
            <v>704.15502083487945</v>
          </cell>
          <cell r="P18">
            <v>779.40254375095219</v>
          </cell>
          <cell r="Q18">
            <v>862.82786536588367</v>
          </cell>
          <cell r="R18">
            <v>955.32606923956212</v>
          </cell>
          <cell r="S18">
            <v>1057.8904967800997</v>
          </cell>
          <cell r="T18">
            <v>1171.623546546685</v>
          </cell>
          <cell r="U18">
            <v>1297.7486610680292</v>
          </cell>
          <cell r="V18">
            <v>1437.6236317847759</v>
          </cell>
          <cell r="W18">
            <v>1592.7553670903312</v>
          </cell>
          <cell r="X18">
            <v>1764.8162843909136</v>
          </cell>
          <cell r="Y18">
            <v>1955.6625048059886</v>
          </cell>
          <cell r="Z18">
            <v>2167.3540487776654</v>
          </cell>
        </row>
        <row r="38">
          <cell r="C38" t="str">
            <v>Чистий дисконтований грошовий потік, тис.грн.</v>
          </cell>
          <cell r="F38">
            <v>-1852.6880000000001</v>
          </cell>
          <cell r="G38">
            <v>132.07526787245797</v>
          </cell>
          <cell r="H38">
            <v>158.49032144694957</v>
          </cell>
          <cell r="I38">
            <v>190.18838573633946</v>
          </cell>
          <cell r="J38">
            <v>171.48399314213086</v>
          </cell>
          <cell r="K38">
            <v>153.34835066024399</v>
          </cell>
          <cell r="L38">
            <v>136.26365949823486</v>
          </cell>
          <cell r="M38">
            <v>120.59607841647846</v>
          </cell>
          <cell r="N38">
            <v>106.74985881562323</v>
          </cell>
          <cell r="O38">
            <v>94.510087056250185</v>
          </cell>
          <cell r="P38">
            <v>83.687710895738718</v>
          </cell>
          <cell r="Q38">
            <v>74.116349276479227</v>
          </cell>
          <cell r="R38">
            <v>65.649507590402408</v>
          </cell>
          <cell r="S38">
            <v>58.158145106172441</v>
          </cell>
          <cell r="T38">
            <v>51.528548512169429</v>
          </cell>
          <cell r="U38">
            <v>45.660471768801067</v>
          </cell>
          <cell r="V38">
            <v>40.46550782753085</v>
          </cell>
          <cell r="W38">
            <v>35.865662388601869</v>
          </cell>
          <cell r="X38">
            <v>31.792103843041208</v>
          </cell>
          <cell r="Y38">
            <v>28.184066969301444</v>
          </cell>
          <cell r="Z38">
            <v>24.987890909324875</v>
          </cell>
        </row>
        <row r="40">
          <cell r="C40" t="str">
            <v>Накопичуваний дисконтований грошовий потік, тис.грн.</v>
          </cell>
          <cell r="F40">
            <v>-1852.6880000000001</v>
          </cell>
          <cell r="G40">
            <v>-1720.6127321275421</v>
          </cell>
          <cell r="H40">
            <v>-1562.1224106805926</v>
          </cell>
          <cell r="I40">
            <v>-1371.934024944253</v>
          </cell>
          <cell r="J40">
            <v>-1200.4500318021221</v>
          </cell>
          <cell r="K40">
            <v>-1047.1016811418781</v>
          </cell>
          <cell r="L40">
            <v>-910.83802164364329</v>
          </cell>
          <cell r="M40">
            <v>-790.24194322716482</v>
          </cell>
          <cell r="N40">
            <v>-683.49208441154155</v>
          </cell>
          <cell r="O40">
            <v>-588.98199735529136</v>
          </cell>
          <cell r="P40">
            <v>-505.29428645955261</v>
          </cell>
          <cell r="Q40">
            <v>-431.17793718307337</v>
          </cell>
          <cell r="R40">
            <v>-365.52842959267093</v>
          </cell>
          <cell r="S40">
            <v>-307.37028448649846</v>
          </cell>
          <cell r="T40">
            <v>-255.84173597432903</v>
          </cell>
          <cell r="U40">
            <v>-210.18126420552795</v>
          </cell>
          <cell r="V40">
            <v>-169.71575637799711</v>
          </cell>
          <cell r="W40">
            <v>-133.85009398939525</v>
          </cell>
          <cell r="X40">
            <v>-102.05799014635404</v>
          </cell>
          <cell r="Y40">
            <v>-73.873923177052603</v>
          </cell>
          <cell r="Z40">
            <v>-48.886032267727728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agent.ua/statistic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3"/>
  <sheetViews>
    <sheetView tabSelected="1" topLeftCell="A94" workbookViewId="0">
      <selection activeCell="A3" sqref="A3"/>
    </sheetView>
  </sheetViews>
  <sheetFormatPr defaultRowHeight="16.5" x14ac:dyDescent="0.25"/>
  <cols>
    <col min="1" max="1" width="62.5703125" style="1" customWidth="1"/>
    <col min="2" max="2" width="26.7109375" style="1" customWidth="1"/>
    <col min="3" max="3" width="12.140625" style="1" customWidth="1"/>
    <col min="4" max="4" width="27.42578125" style="1" customWidth="1"/>
    <col min="5" max="5" width="20.140625" style="1" customWidth="1"/>
    <col min="6" max="6" width="21.85546875" style="1" customWidth="1"/>
    <col min="7" max="7" width="17" style="1" customWidth="1"/>
    <col min="8" max="13" width="9.140625" style="1"/>
    <col min="14" max="14" width="9.140625" style="1" customWidth="1"/>
    <col min="15" max="16384" width="9.140625" style="1"/>
  </cols>
  <sheetData>
    <row r="1" spans="1:7" ht="32.25" customHeight="1" x14ac:dyDescent="0.25">
      <c r="A1" s="278" t="s">
        <v>83</v>
      </c>
      <c r="B1" s="278"/>
      <c r="C1" s="278"/>
      <c r="D1" s="278"/>
      <c r="E1" s="278"/>
      <c r="F1" s="29"/>
    </row>
    <row r="2" spans="1:7" ht="30.75" customHeight="1" x14ac:dyDescent="0.25">
      <c r="A2" s="278"/>
      <c r="B2" s="278"/>
      <c r="C2" s="278"/>
      <c r="D2" s="278"/>
      <c r="E2" s="278"/>
    </row>
    <row r="3" spans="1:7" x14ac:dyDescent="0.25">
      <c r="A3" s="45" t="s">
        <v>82</v>
      </c>
    </row>
    <row r="6" spans="1:7" x14ac:dyDescent="0.25">
      <c r="A6" s="279" t="s">
        <v>81</v>
      </c>
      <c r="B6" s="279"/>
      <c r="C6" s="279"/>
      <c r="D6" s="279"/>
      <c r="E6" s="279"/>
    </row>
    <row r="8" spans="1:7" x14ac:dyDescent="0.25">
      <c r="A8" s="28" t="s">
        <v>80</v>
      </c>
      <c r="B8" s="25"/>
    </row>
    <row r="9" spans="1:7" x14ac:dyDescent="0.25">
      <c r="A9" s="28" t="s">
        <v>79</v>
      </c>
      <c r="B9" s="25"/>
    </row>
    <row r="10" spans="1:7" x14ac:dyDescent="0.25">
      <c r="A10" s="44" t="s">
        <v>78</v>
      </c>
      <c r="B10" s="44" t="s">
        <v>77</v>
      </c>
      <c r="C10" s="44" t="s">
        <v>76</v>
      </c>
      <c r="D10" s="44" t="s">
        <v>75</v>
      </c>
      <c r="E10"/>
    </row>
    <row r="11" spans="1:7" x14ac:dyDescent="0.25">
      <c r="A11" s="43" t="str">
        <f>VLOOKUP(ОСББ!H1,ОСББ!A2:C10,3,0)</f>
        <v>середина 50-ч - кінець 80-х</v>
      </c>
      <c r="B11" s="43" t="str">
        <f>VLOOKUP(ОСББ!H1,ОСББ!A2:D10,4,0)</f>
        <v>3…12</v>
      </c>
      <c r="C11" s="43" t="str">
        <f>VLOOKUP(ОСББ!H1,ОСББ!A2:G10,6,0)</f>
        <v>2,50м-2,55м</v>
      </c>
      <c r="D11" s="43" t="str">
        <f>VLOOKUP(ОСББ!H1,ОСББ!A2:E10,5,0)</f>
        <v>Залізобетонна панель</v>
      </c>
      <c r="E11"/>
      <c r="F11" s="42"/>
      <c r="G11" s="42"/>
    </row>
    <row r="12" spans="1:7" x14ac:dyDescent="0.25">
      <c r="D12" s="42"/>
      <c r="E12"/>
      <c r="F12" s="42"/>
      <c r="G12" s="42"/>
    </row>
    <row r="13" spans="1:7" x14ac:dyDescent="0.25">
      <c r="A13" s="28" t="s">
        <v>74</v>
      </c>
      <c r="B13" s="267">
        <v>8801</v>
      </c>
      <c r="C13" s="13" t="s">
        <v>73</v>
      </c>
    </row>
    <row r="14" spans="1:7" x14ac:dyDescent="0.25">
      <c r="A14" s="28" t="s">
        <v>72</v>
      </c>
      <c r="B14" s="267">
        <v>9</v>
      </c>
      <c r="C14" s="13" t="s">
        <v>71</v>
      </c>
    </row>
    <row r="15" spans="1:7" x14ac:dyDescent="0.25">
      <c r="A15" s="28" t="s">
        <v>70</v>
      </c>
      <c r="B15" s="267">
        <v>400</v>
      </c>
      <c r="C15" s="13" t="s">
        <v>69</v>
      </c>
    </row>
    <row r="16" spans="1:7" x14ac:dyDescent="0.25">
      <c r="A16" s="28" t="s">
        <v>68</v>
      </c>
      <c r="B16" s="267">
        <v>167</v>
      </c>
      <c r="C16" s="13" t="s">
        <v>67</v>
      </c>
    </row>
    <row r="17" spans="1:9" x14ac:dyDescent="0.25">
      <c r="A17" s="28" t="s">
        <v>66</v>
      </c>
      <c r="B17" s="267">
        <v>10</v>
      </c>
      <c r="C17" s="13" t="s">
        <v>24</v>
      </c>
    </row>
    <row r="19" spans="1:9" x14ac:dyDescent="0.25">
      <c r="A19" s="279" t="s">
        <v>65</v>
      </c>
      <c r="B19" s="279"/>
      <c r="C19" s="279"/>
      <c r="D19" s="279"/>
      <c r="E19" s="279"/>
      <c r="F19" s="36"/>
      <c r="G19" s="36"/>
      <c r="H19" s="36"/>
      <c r="I19" s="36"/>
    </row>
    <row r="20" spans="1:9" x14ac:dyDescent="0.25">
      <c r="B20" s="41"/>
      <c r="F20" s="36"/>
      <c r="G20" s="36"/>
      <c r="H20" s="36"/>
      <c r="I20" s="36"/>
    </row>
    <row r="21" spans="1:9" x14ac:dyDescent="0.25">
      <c r="A21" s="11" t="s">
        <v>64</v>
      </c>
      <c r="B21" s="11" t="s">
        <v>63</v>
      </c>
      <c r="D21" s="40" t="s">
        <v>62</v>
      </c>
      <c r="E21" s="40" t="s">
        <v>61</v>
      </c>
      <c r="F21" s="36"/>
      <c r="G21" s="36"/>
      <c r="H21" s="36"/>
      <c r="I21" s="36"/>
    </row>
    <row r="22" spans="1:9" x14ac:dyDescent="0.25">
      <c r="A22" s="38" t="s">
        <v>60</v>
      </c>
      <c r="B22" s="39"/>
      <c r="D22" s="37" t="str">
        <f>IF(ОСББ!E25=0,"-","-")</f>
        <v>-</v>
      </c>
      <c r="E22" s="37">
        <f>IF(ОСББ!E25=0,"-",ОСББ!H36)</f>
        <v>15000</v>
      </c>
      <c r="F22" s="36"/>
      <c r="G22" s="36" t="b">
        <v>1</v>
      </c>
      <c r="H22" s="36"/>
      <c r="I22" s="36"/>
    </row>
    <row r="23" spans="1:9" x14ac:dyDescent="0.25">
      <c r="A23" s="38" t="s">
        <v>59</v>
      </c>
      <c r="B23" s="12"/>
      <c r="D23" s="37">
        <f>IF(ОСББ!E17=0,"-",ОСББ!G28)</f>
        <v>300000</v>
      </c>
      <c r="E23" s="37">
        <f>IF(ОСББ!E17=0,"-",ОСББ!H28)</f>
        <v>100000</v>
      </c>
      <c r="F23" s="36"/>
      <c r="G23" s="36" t="b">
        <v>1</v>
      </c>
      <c r="H23" s="36"/>
      <c r="I23" s="36"/>
    </row>
    <row r="24" spans="1:9" x14ac:dyDescent="0.25">
      <c r="A24" s="38" t="s">
        <v>58</v>
      </c>
      <c r="B24" s="12"/>
      <c r="D24" s="37">
        <f>IF(ОСББ!E18=0,"-",ОСББ!G29)</f>
        <v>100000</v>
      </c>
      <c r="E24" s="37">
        <f>IF(ОСББ!E18=0,"-",ОСББ!H29)</f>
        <v>20000</v>
      </c>
      <c r="F24" s="36"/>
      <c r="G24" s="36" t="b">
        <v>1</v>
      </c>
      <c r="H24" s="36"/>
      <c r="I24" s="36"/>
    </row>
    <row r="25" spans="1:9" x14ac:dyDescent="0.25">
      <c r="A25" s="38" t="s">
        <v>57</v>
      </c>
      <c r="B25" s="12"/>
      <c r="D25" s="37">
        <f>IF(ОСББ!E19=0,"-",ОСББ!G30)</f>
        <v>187040</v>
      </c>
      <c r="E25" s="37">
        <f>IF(ОСББ!E19=0,"-",ОСББ!H30)</f>
        <v>56112</v>
      </c>
      <c r="F25" s="36"/>
      <c r="G25" s="36" t="b">
        <v>1</v>
      </c>
      <c r="H25" s="36"/>
      <c r="I25" s="36"/>
    </row>
    <row r="26" spans="1:9" x14ac:dyDescent="0.25">
      <c r="A26" s="38" t="s">
        <v>56</v>
      </c>
      <c r="B26" s="12"/>
      <c r="D26" s="37">
        <f>IF(ОСББ!E20=0,"-",ОСББ!G31)</f>
        <v>259200</v>
      </c>
      <c r="E26" s="37">
        <f>IF(ОСББ!E20=0,"-",ОСББ!H31)</f>
        <v>25920</v>
      </c>
      <c r="F26" s="36"/>
      <c r="G26" s="36" t="b">
        <v>1</v>
      </c>
      <c r="H26" s="36"/>
      <c r="I26" s="36"/>
    </row>
    <row r="27" spans="1:9" x14ac:dyDescent="0.25">
      <c r="A27" s="38" t="s">
        <v>55</v>
      </c>
      <c r="B27" s="12"/>
      <c r="D27" s="37">
        <f>IF(ОСББ!E21=0,"-",ОСББ!G32)</f>
        <v>3888000</v>
      </c>
      <c r="E27" s="37">
        <f>IF(ОСББ!E21=0,"-",ОСББ!H32)</f>
        <v>777600</v>
      </c>
      <c r="F27" s="36"/>
      <c r="G27" s="36" t="b">
        <v>1</v>
      </c>
      <c r="H27" s="36"/>
      <c r="I27" s="36"/>
    </row>
    <row r="28" spans="1:9" x14ac:dyDescent="0.25">
      <c r="A28" s="38" t="s">
        <v>54</v>
      </c>
      <c r="B28" s="12"/>
      <c r="D28" s="37">
        <f>IF(ОСББ!E22=0,"-",ОСББ!G33)</f>
        <v>440050</v>
      </c>
      <c r="E28" s="37">
        <f>IF(ОСББ!E23=0,"-",ОСББ!H34)</f>
        <v>88010</v>
      </c>
      <c r="F28" s="36"/>
      <c r="G28" s="36" t="b">
        <v>1</v>
      </c>
      <c r="H28" s="36"/>
      <c r="I28" s="36"/>
    </row>
    <row r="29" spans="1:9" x14ac:dyDescent="0.25">
      <c r="A29" s="38" t="s">
        <v>53</v>
      </c>
      <c r="B29" s="12"/>
      <c r="D29" s="37">
        <f>IF(ОСББ!E23=0,"-",ОСББ!G34)</f>
        <v>440050</v>
      </c>
      <c r="E29" s="37">
        <f>IF(ОСББ!E23=0,"-",ОСББ!H34)</f>
        <v>88010</v>
      </c>
      <c r="F29" s="36"/>
      <c r="G29" s="36" t="b">
        <v>1</v>
      </c>
      <c r="H29" s="36"/>
      <c r="I29" s="36"/>
    </row>
    <row r="30" spans="1:9" x14ac:dyDescent="0.25">
      <c r="A30" s="38" t="s">
        <v>52</v>
      </c>
      <c r="B30" s="12"/>
      <c r="D30" s="37">
        <f>IF(ОСББ!E24=0,"-",ОСББ!G35)</f>
        <v>70408</v>
      </c>
      <c r="E30" s="37">
        <f>IF(ОСББ!E24=0,"-",ОСББ!H35)</f>
        <v>14081.6</v>
      </c>
      <c r="F30" s="36"/>
      <c r="G30" s="36" t="b">
        <v>1</v>
      </c>
      <c r="H30" s="36"/>
      <c r="I30" s="36"/>
    </row>
    <row r="31" spans="1:9" x14ac:dyDescent="0.25">
      <c r="F31" s="36"/>
      <c r="G31" s="36"/>
      <c r="H31" s="36"/>
      <c r="I31" s="36"/>
    </row>
    <row r="32" spans="1:9" x14ac:dyDescent="0.25">
      <c r="A32" s="276" t="s">
        <v>51</v>
      </c>
      <c r="B32" s="276"/>
      <c r="C32" s="276"/>
      <c r="D32" s="276"/>
      <c r="E32" s="276"/>
      <c r="F32" s="36"/>
      <c r="G32" s="36"/>
      <c r="H32" s="36"/>
      <c r="I32" s="36"/>
    </row>
    <row r="33" spans="1:9" x14ac:dyDescent="0.25">
      <c r="A33" s="276"/>
      <c r="B33" s="276"/>
      <c r="C33" s="276"/>
      <c r="D33" s="276"/>
      <c r="E33" s="276"/>
      <c r="F33" s="36"/>
      <c r="G33" s="36"/>
      <c r="H33" s="36"/>
      <c r="I33" s="36"/>
    </row>
    <row r="34" spans="1:9" x14ac:dyDescent="0.25">
      <c r="A34" s="35" t="s">
        <v>50</v>
      </c>
      <c r="B34" s="34">
        <f>SUM(B35:B37)</f>
        <v>7212955.6799999997</v>
      </c>
      <c r="C34" s="13" t="s">
        <v>6</v>
      </c>
    </row>
    <row r="35" spans="1:9" x14ac:dyDescent="0.25">
      <c r="A35" s="26" t="s">
        <v>49</v>
      </c>
      <c r="B35" s="33">
        <f>ОСББ!G37</f>
        <v>5684748</v>
      </c>
      <c r="C35" s="13" t="s">
        <v>6</v>
      </c>
    </row>
    <row r="36" spans="1:9" x14ac:dyDescent="0.25">
      <c r="A36" s="26" t="s">
        <v>48</v>
      </c>
      <c r="B36" s="33">
        <f>ОСББ!H37</f>
        <v>1184733.6000000001</v>
      </c>
      <c r="C36" s="13" t="s">
        <v>6</v>
      </c>
    </row>
    <row r="37" spans="1:9" x14ac:dyDescent="0.25">
      <c r="A37" s="26" t="s">
        <v>47</v>
      </c>
      <c r="B37" s="33">
        <f>ОСББ!H39</f>
        <v>343474.08</v>
      </c>
      <c r="C37" s="13" t="s">
        <v>6</v>
      </c>
      <c r="D37"/>
      <c r="E37"/>
      <c r="F37"/>
      <c r="G37"/>
    </row>
    <row r="38" spans="1:9" x14ac:dyDescent="0.25">
      <c r="C38" s="22"/>
    </row>
    <row r="39" spans="1:9" x14ac:dyDescent="0.25">
      <c r="A39" s="12" t="s">
        <v>46</v>
      </c>
      <c r="B39" s="32">
        <v>0</v>
      </c>
      <c r="C39" s="31" t="s">
        <v>604</v>
      </c>
    </row>
    <row r="41" spans="1:9" x14ac:dyDescent="0.25">
      <c r="A41" s="24" t="s">
        <v>45</v>
      </c>
      <c r="B41" s="30">
        <f>IF(B16*10000&lt;B35*0.4,B16*10000,B35*0.4)</f>
        <v>1670000</v>
      </c>
      <c r="C41" s="13" t="s">
        <v>6</v>
      </c>
      <c r="D41" s="29"/>
    </row>
    <row r="42" spans="1:9" x14ac:dyDescent="0.25">
      <c r="D42" s="5"/>
      <c r="E42" s="5"/>
      <c r="F42" s="5"/>
    </row>
    <row r="43" spans="1:9" x14ac:dyDescent="0.25">
      <c r="A43" s="28" t="s">
        <v>44</v>
      </c>
      <c r="B43" s="27">
        <f>B34-B39-B41</f>
        <v>5542955.6799999997</v>
      </c>
      <c r="C43" s="22" t="s">
        <v>6</v>
      </c>
      <c r="D43" s="269"/>
      <c r="E43" s="5"/>
      <c r="F43" s="5"/>
    </row>
    <row r="44" spans="1:9" s="29" customFormat="1" x14ac:dyDescent="0.25">
      <c r="A44" s="26" t="s">
        <v>43</v>
      </c>
      <c r="B44" s="250">
        <f>B35-B41</f>
        <v>4014748</v>
      </c>
      <c r="C44" s="251"/>
      <c r="D44" s="270"/>
      <c r="E44" s="270"/>
      <c r="F44" s="270"/>
    </row>
    <row r="45" spans="1:9" s="29" customFormat="1" x14ac:dyDescent="0.25">
      <c r="A45" s="26" t="s">
        <v>42</v>
      </c>
      <c r="B45" s="250">
        <f>B36+B37-B39</f>
        <v>1528207.6800000002</v>
      </c>
      <c r="C45" s="251"/>
      <c r="D45" s="270"/>
      <c r="E45" s="270"/>
      <c r="F45" s="270"/>
    </row>
    <row r="46" spans="1:9" x14ac:dyDescent="0.25">
      <c r="C46" s="22"/>
      <c r="D46" s="5"/>
      <c r="E46" s="5"/>
      <c r="F46" s="5"/>
    </row>
    <row r="47" spans="1:9" x14ac:dyDescent="0.25">
      <c r="A47" s="24" t="s">
        <v>39</v>
      </c>
      <c r="B47" s="23"/>
      <c r="C47" s="13"/>
      <c r="D47" s="5"/>
      <c r="E47" s="5"/>
      <c r="F47" s="5"/>
    </row>
    <row r="48" spans="1:9" x14ac:dyDescent="0.25">
      <c r="A48" s="12" t="s">
        <v>41</v>
      </c>
      <c r="B48" s="25">
        <v>60</v>
      </c>
      <c r="C48" s="13" t="s">
        <v>40</v>
      </c>
      <c r="D48" s="5"/>
      <c r="E48" s="5"/>
      <c r="F48" s="5"/>
    </row>
    <row r="49" spans="1:6" x14ac:dyDescent="0.25">
      <c r="A49" s="12" t="s">
        <v>605</v>
      </c>
      <c r="B49" s="250">
        <f>B43*VLOOKUP('Умови кредитування'!G2,'Умови кредитування'!A1:E10,5,0)</f>
        <v>0</v>
      </c>
      <c r="C49" s="13" t="s">
        <v>6</v>
      </c>
      <c r="D49" s="271"/>
      <c r="E49" s="272"/>
      <c r="F49" s="5"/>
    </row>
    <row r="50" spans="1:6" x14ac:dyDescent="0.25">
      <c r="C50" s="22"/>
      <c r="D50" s="5"/>
      <c r="E50" s="5"/>
      <c r="F50" s="5"/>
    </row>
    <row r="51" spans="1:6" x14ac:dyDescent="0.25">
      <c r="A51" s="17"/>
      <c r="B51" s="16"/>
      <c r="C51" s="15"/>
      <c r="D51" s="272"/>
      <c r="E51" s="5"/>
      <c r="F51" s="6"/>
    </row>
    <row r="52" spans="1:6" x14ac:dyDescent="0.25">
      <c r="A52" s="252" t="s">
        <v>38</v>
      </c>
      <c r="B52" s="261">
        <f>'Вхідні дані'!B30*-1+B43*VLOOKUP('Умови кредитування'!G2,'Умови кредитування'!A1:F10,6,0)</f>
        <v>161165.21737021042</v>
      </c>
      <c r="C52" s="253" t="s">
        <v>30</v>
      </c>
      <c r="D52" s="272"/>
      <c r="E52" s="5"/>
      <c r="F52" s="6"/>
    </row>
    <row r="53" spans="1:6" x14ac:dyDescent="0.25">
      <c r="C53" s="22"/>
      <c r="D53" s="5"/>
      <c r="E53" s="5"/>
      <c r="F53" s="5"/>
    </row>
    <row r="54" spans="1:6" x14ac:dyDescent="0.25">
      <c r="A54" s="280" t="s">
        <v>37</v>
      </c>
      <c r="B54" s="280"/>
      <c r="C54" s="280"/>
      <c r="D54" s="5"/>
      <c r="E54" s="5"/>
      <c r="F54" s="5"/>
    </row>
    <row r="55" spans="1:6" x14ac:dyDescent="0.25">
      <c r="A55" s="254" t="s">
        <v>36</v>
      </c>
      <c r="B55" s="257">
        <f>B52/B13</f>
        <v>18.312148320669291</v>
      </c>
      <c r="C55" s="256" t="s">
        <v>30</v>
      </c>
    </row>
    <row r="56" spans="1:6" s="29" customFormat="1" x14ac:dyDescent="0.25">
      <c r="A56" s="254" t="s">
        <v>35</v>
      </c>
      <c r="B56" s="255">
        <f>B52/B16</f>
        <v>965.06118185754747</v>
      </c>
      <c r="C56" s="256" t="s">
        <v>30</v>
      </c>
    </row>
    <row r="57" spans="1:6" x14ac:dyDescent="0.25">
      <c r="A57" s="17"/>
      <c r="B57" s="20"/>
      <c r="C57" s="15"/>
    </row>
    <row r="58" spans="1:6" x14ac:dyDescent="0.25">
      <c r="A58" s="17"/>
      <c r="B58" s="20"/>
      <c r="C58" s="15"/>
    </row>
    <row r="59" spans="1:6" x14ac:dyDescent="0.25">
      <c r="A59" s="281" t="s">
        <v>34</v>
      </c>
      <c r="B59" s="281"/>
      <c r="C59" s="281"/>
    </row>
    <row r="60" spans="1:6" x14ac:dyDescent="0.25">
      <c r="A60" s="19" t="s">
        <v>33</v>
      </c>
      <c r="B60" s="21">
        <f>Розрахунки!J8</f>
        <v>5.4000000000000012</v>
      </c>
      <c r="C60" s="13" t="s">
        <v>30</v>
      </c>
    </row>
    <row r="61" spans="1:6" s="29" customFormat="1" x14ac:dyDescent="0.25">
      <c r="A61" s="258" t="s">
        <v>32</v>
      </c>
      <c r="B61" s="259">
        <f>Розрахунки!J9</f>
        <v>284.58323353293417</v>
      </c>
      <c r="C61" s="253" t="s">
        <v>30</v>
      </c>
    </row>
    <row r="62" spans="1:6" x14ac:dyDescent="0.25">
      <c r="A62" s="19" t="s">
        <v>31</v>
      </c>
      <c r="B62" s="18">
        <f>Розрахунки!J7</f>
        <v>47525.400000000009</v>
      </c>
      <c r="C62" s="13" t="s">
        <v>30</v>
      </c>
    </row>
    <row r="63" spans="1:6" x14ac:dyDescent="0.25">
      <c r="A63" s="17"/>
      <c r="B63" s="20"/>
      <c r="C63" s="15"/>
    </row>
    <row r="64" spans="1:6" s="29" customFormat="1" x14ac:dyDescent="0.25">
      <c r="A64" s="275" t="s">
        <v>29</v>
      </c>
      <c r="B64" s="275"/>
      <c r="C64" s="275"/>
    </row>
    <row r="65" spans="1:5" s="29" customFormat="1" x14ac:dyDescent="0.25">
      <c r="A65" s="258" t="s">
        <v>27</v>
      </c>
      <c r="B65" s="250">
        <f>Розрахунки!J11</f>
        <v>527.00598802395211</v>
      </c>
      <c r="C65" s="253" t="s">
        <v>24</v>
      </c>
    </row>
    <row r="66" spans="1:5" s="29" customFormat="1" x14ac:dyDescent="0.25">
      <c r="A66" s="258" t="s">
        <v>26</v>
      </c>
      <c r="B66" s="250">
        <f>Розрахунки!J12</f>
        <v>242.42275449101791</v>
      </c>
      <c r="C66" s="253" t="s">
        <v>24</v>
      </c>
    </row>
    <row r="67" spans="1:5" s="29" customFormat="1" x14ac:dyDescent="0.25">
      <c r="A67" s="260" t="s">
        <v>25</v>
      </c>
      <c r="B67" s="261">
        <f>B66+B56</f>
        <v>1207.4839363485653</v>
      </c>
      <c r="C67" s="262" t="s">
        <v>24</v>
      </c>
    </row>
    <row r="68" spans="1:5" x14ac:dyDescent="0.25">
      <c r="A68" s="17"/>
      <c r="B68" s="16"/>
      <c r="C68" s="15"/>
    </row>
    <row r="69" spans="1:5" s="29" customFormat="1" x14ac:dyDescent="0.25">
      <c r="A69" s="282" t="s">
        <v>28</v>
      </c>
      <c r="B69" s="282"/>
      <c r="C69" s="282"/>
    </row>
    <row r="70" spans="1:5" s="29" customFormat="1" x14ac:dyDescent="0.25">
      <c r="A70" s="258" t="s">
        <v>27</v>
      </c>
      <c r="B70" s="263">
        <f>B17</f>
        <v>10</v>
      </c>
      <c r="C70" s="253" t="s">
        <v>24</v>
      </c>
    </row>
    <row r="71" spans="1:5" s="29" customFormat="1" x14ac:dyDescent="0.25">
      <c r="A71" s="258" t="s">
        <v>26</v>
      </c>
      <c r="B71" s="263">
        <f>B70-B60</f>
        <v>4.5999999999999988</v>
      </c>
      <c r="C71" s="253" t="s">
        <v>24</v>
      </c>
    </row>
    <row r="72" spans="1:5" s="29" customFormat="1" x14ac:dyDescent="0.25">
      <c r="A72" s="258" t="s">
        <v>25</v>
      </c>
      <c r="B72" s="263">
        <f>B71+B55</f>
        <v>22.912148320669289</v>
      </c>
      <c r="C72" s="253" t="s">
        <v>24</v>
      </c>
    </row>
    <row r="73" spans="1:5" x14ac:dyDescent="0.25">
      <c r="A73" s="17"/>
      <c r="B73" s="16"/>
      <c r="C73" s="15"/>
    </row>
    <row r="74" spans="1:5" x14ac:dyDescent="0.25">
      <c r="A74" s="17"/>
      <c r="B74" s="12" t="s">
        <v>608</v>
      </c>
      <c r="C74" s="283" t="s">
        <v>295</v>
      </c>
      <c r="D74" s="283"/>
    </row>
    <row r="75" spans="1:5" x14ac:dyDescent="0.25">
      <c r="A75" s="14" t="s">
        <v>23</v>
      </c>
      <c r="B75" s="264">
        <f>'Фінансовий потік'!B19</f>
        <v>15.137396467605717</v>
      </c>
      <c r="C75" s="265">
        <f>'Фінансовий потік'!B44</f>
        <v>24.981058168095458</v>
      </c>
      <c r="D75" s="13" t="s">
        <v>21</v>
      </c>
    </row>
    <row r="76" spans="1:5" x14ac:dyDescent="0.25">
      <c r="A76" s="14" t="s">
        <v>22</v>
      </c>
      <c r="B76" s="264">
        <f>'Фінансовий потік'!B20</f>
        <v>685.28460181633693</v>
      </c>
      <c r="C76" s="266">
        <f>'Фінансовий потік'!B45</f>
        <v>1035.7001407244036</v>
      </c>
      <c r="D76" s="13" t="s">
        <v>21</v>
      </c>
    </row>
    <row r="77" spans="1:5" x14ac:dyDescent="0.25">
      <c r="A77"/>
    </row>
    <row r="78" spans="1:5" x14ac:dyDescent="0.25">
      <c r="A78" s="276" t="s">
        <v>20</v>
      </c>
      <c r="B78" s="276"/>
      <c r="C78" s="276"/>
      <c r="D78" s="276"/>
      <c r="E78" s="276"/>
    </row>
    <row r="79" spans="1:5" x14ac:dyDescent="0.25">
      <c r="A79" s="276"/>
      <c r="B79" s="276"/>
      <c r="C79" s="276"/>
      <c r="D79" s="276"/>
      <c r="E79" s="276"/>
    </row>
    <row r="81" spans="1:6" x14ac:dyDescent="0.25">
      <c r="A81" s="277" t="s">
        <v>19</v>
      </c>
      <c r="B81" s="277"/>
      <c r="C81" s="277"/>
      <c r="D81" s="277"/>
      <c r="E81" s="277"/>
    </row>
    <row r="83" spans="1:6" x14ac:dyDescent="0.25">
      <c r="A83" s="11" t="s">
        <v>18</v>
      </c>
      <c r="B83" s="11" t="s">
        <v>17</v>
      </c>
      <c r="C83" s="11"/>
      <c r="D83" s="11" t="s">
        <v>16</v>
      </c>
      <c r="E83"/>
      <c r="F83"/>
    </row>
    <row r="84" spans="1:6" x14ac:dyDescent="0.25">
      <c r="A84" s="12" t="s">
        <v>15</v>
      </c>
      <c r="B84" s="10">
        <f>30*ОСББ!$G$59</f>
        <v>18060</v>
      </c>
      <c r="C84" s="11" t="s">
        <v>12</v>
      </c>
      <c r="D84" s="10">
        <f>30*ОСББ!$G$60</f>
        <v>22213.800000000003</v>
      </c>
    </row>
    <row r="85" spans="1:6" x14ac:dyDescent="0.25">
      <c r="A85" s="12" t="s">
        <v>14</v>
      </c>
      <c r="B85" s="10">
        <f>45*ОСББ!$G$59</f>
        <v>27090</v>
      </c>
      <c r="C85" s="11" t="s">
        <v>12</v>
      </c>
      <c r="D85" s="10">
        <f>45*ОСББ!$G$60</f>
        <v>33320.700000000004</v>
      </c>
    </row>
    <row r="86" spans="1:6" x14ac:dyDescent="0.25">
      <c r="A86" s="12" t="s">
        <v>13</v>
      </c>
      <c r="B86" s="10">
        <f>60*ОСББ!$G$59</f>
        <v>36120</v>
      </c>
      <c r="C86" s="11" t="s">
        <v>12</v>
      </c>
      <c r="D86" s="10">
        <f>60*ОСББ!$G$60</f>
        <v>44427.600000000006</v>
      </c>
    </row>
    <row r="88" spans="1:6" x14ac:dyDescent="0.25">
      <c r="A88" s="277" t="s">
        <v>11</v>
      </c>
      <c r="B88" s="277"/>
      <c r="C88" s="277"/>
      <c r="D88" s="277"/>
      <c r="E88" s="277"/>
    </row>
    <row r="132" spans="1:3" x14ac:dyDescent="0.25">
      <c r="A132" s="5"/>
      <c r="B132" s="5"/>
      <c r="C132" s="6"/>
    </row>
    <row r="133" spans="1:3" x14ac:dyDescent="0.25">
      <c r="A133" s="5"/>
      <c r="B133" s="5"/>
      <c r="C133" s="5"/>
    </row>
  </sheetData>
  <mergeCells count="12">
    <mergeCell ref="A64:C64"/>
    <mergeCell ref="A78:E79"/>
    <mergeCell ref="A81:E81"/>
    <mergeCell ref="A88:E88"/>
    <mergeCell ref="A1:E2"/>
    <mergeCell ref="A6:E6"/>
    <mergeCell ref="A19:E19"/>
    <mergeCell ref="A32:E33"/>
    <mergeCell ref="A54:C54"/>
    <mergeCell ref="A59:C59"/>
    <mergeCell ref="A69:C69"/>
    <mergeCell ref="C74:D74"/>
  </mergeCells>
  <dataValidations count="6">
    <dataValidation type="whole" allowBlank="1" showInputMessage="1" showErrorMessage="1" sqref="B47:B48">
      <formula1>1</formula1>
      <formula2>60</formula2>
    </dataValidation>
    <dataValidation type="decimal" allowBlank="1" showInputMessage="1" showErrorMessage="1" sqref="B13">
      <formula1>20</formula1>
      <formula2>100000</formula2>
    </dataValidation>
    <dataValidation type="whole" allowBlank="1" showInputMessage="1" showErrorMessage="1" sqref="B14">
      <formula1>1</formula1>
      <formula2>36</formula2>
    </dataValidation>
    <dataValidation type="decimal" allowBlank="1" showInputMessage="1" showErrorMessage="1" sqref="B15">
      <formula1>20</formula1>
      <formula2>1000</formula2>
    </dataValidation>
    <dataValidation type="decimal" allowBlank="1" showInputMessage="1" showErrorMessage="1" sqref="B17">
      <formula1>5</formula1>
      <formula2>100</formula2>
    </dataValidation>
    <dataValidation type="whole" allowBlank="1" showInputMessage="1" showErrorMessage="1" sqref="B16">
      <formula1>1</formula1>
      <formula2>500</formula2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552450</xdr:colOff>
                    <xdr:row>20</xdr:row>
                    <xdr:rowOff>180975</xdr:rowOff>
                  </from>
                  <to>
                    <xdr:col>1</xdr:col>
                    <xdr:colOff>857250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552450</xdr:colOff>
                    <xdr:row>22</xdr:row>
                    <xdr:rowOff>9525</xdr:rowOff>
                  </from>
                  <to>
                    <xdr:col>1</xdr:col>
                    <xdr:colOff>857250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552450</xdr:colOff>
                    <xdr:row>23</xdr:row>
                    <xdr:rowOff>19050</xdr:rowOff>
                  </from>
                  <to>
                    <xdr:col>1</xdr:col>
                    <xdr:colOff>857250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552450</xdr:colOff>
                    <xdr:row>24</xdr:row>
                    <xdr:rowOff>0</xdr:rowOff>
                  </from>
                  <to>
                    <xdr:col>1</xdr:col>
                    <xdr:colOff>857250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552450</xdr:colOff>
                    <xdr:row>25</xdr:row>
                    <xdr:rowOff>9525</xdr:rowOff>
                  </from>
                  <to>
                    <xdr:col>1</xdr:col>
                    <xdr:colOff>857250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552450</xdr:colOff>
                    <xdr:row>26</xdr:row>
                    <xdr:rowOff>0</xdr:rowOff>
                  </from>
                  <to>
                    <xdr:col>1</xdr:col>
                    <xdr:colOff>857250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</xdr:col>
                    <xdr:colOff>552450</xdr:colOff>
                    <xdr:row>27</xdr:row>
                    <xdr:rowOff>19050</xdr:rowOff>
                  </from>
                  <to>
                    <xdr:col>1</xdr:col>
                    <xdr:colOff>857250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</xdr:col>
                    <xdr:colOff>552450</xdr:colOff>
                    <xdr:row>28</xdr:row>
                    <xdr:rowOff>28575</xdr:rowOff>
                  </from>
                  <to>
                    <xdr:col>1</xdr:col>
                    <xdr:colOff>857250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</xdr:col>
                    <xdr:colOff>552450</xdr:colOff>
                    <xdr:row>29</xdr:row>
                    <xdr:rowOff>9525</xdr:rowOff>
                  </from>
                  <to>
                    <xdr:col>1</xdr:col>
                    <xdr:colOff>857250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Drop Down 1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190500</xdr:rowOff>
                  </from>
                  <to>
                    <xdr:col>2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Drop Down 13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Drop Down 14">
              <controlPr defaultSize="0" autoLine="0" autoPict="0">
                <anchor moveWithCells="1">
                  <from>
                    <xdr:col>0</xdr:col>
                    <xdr:colOff>4162425</xdr:colOff>
                    <xdr:row>46</xdr:row>
                    <xdr:rowOff>0</xdr:rowOff>
                  </from>
                  <to>
                    <xdr:col>2</xdr:col>
                    <xdr:colOff>428625</xdr:colOff>
                    <xdr:row>47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22" workbookViewId="0">
      <selection activeCell="D11" sqref="D11"/>
    </sheetView>
  </sheetViews>
  <sheetFormatPr defaultRowHeight="15" x14ac:dyDescent="0.25"/>
  <cols>
    <col min="1" max="1" width="12" style="73" customWidth="1"/>
    <col min="2" max="2" width="22" customWidth="1"/>
    <col min="3" max="3" width="33.85546875" customWidth="1"/>
    <col min="4" max="4" width="28" customWidth="1"/>
    <col min="5" max="5" width="24.5703125" customWidth="1"/>
    <col min="6" max="6" width="22.42578125" customWidth="1"/>
    <col min="7" max="7" width="25.28515625" customWidth="1"/>
    <col min="8" max="8" width="9.85546875" customWidth="1"/>
    <col min="9" max="9" width="11" bestFit="1" customWidth="1"/>
    <col min="10" max="10" width="9.85546875" customWidth="1"/>
    <col min="11" max="11" width="11" bestFit="1" customWidth="1"/>
    <col min="12" max="12" width="10.28515625" customWidth="1"/>
    <col min="13" max="13" width="11" bestFit="1" customWidth="1"/>
    <col min="14" max="14" width="9.85546875" customWidth="1"/>
    <col min="15" max="15" width="11" bestFit="1" customWidth="1"/>
    <col min="16" max="16" width="9.85546875" customWidth="1"/>
    <col min="17" max="17" width="11" bestFit="1" customWidth="1"/>
    <col min="18" max="18" width="9.85546875" customWidth="1"/>
    <col min="19" max="19" width="11" bestFit="1" customWidth="1"/>
    <col min="20" max="20" width="9.85546875" customWidth="1"/>
    <col min="21" max="21" width="11" bestFit="1" customWidth="1"/>
  </cols>
  <sheetData>
    <row r="1" spans="1:7" ht="318" customHeight="1" thickBot="1" x14ac:dyDescent="0.3">
      <c r="A1" s="428"/>
      <c r="B1" s="428"/>
      <c r="C1" s="428"/>
      <c r="D1" s="428"/>
      <c r="E1" s="428"/>
      <c r="F1" s="428"/>
    </row>
    <row r="2" spans="1:7" s="87" customFormat="1" ht="60" x14ac:dyDescent="0.25">
      <c r="A2" s="124"/>
      <c r="B2" s="123"/>
      <c r="C2" s="123" t="s">
        <v>383</v>
      </c>
      <c r="D2" s="123" t="s">
        <v>382</v>
      </c>
      <c r="E2" s="123" t="s">
        <v>381</v>
      </c>
      <c r="F2" s="122" t="s">
        <v>380</v>
      </c>
    </row>
    <row r="3" spans="1:7" s="87" customFormat="1" x14ac:dyDescent="0.25">
      <c r="A3" s="426" t="s">
        <v>379</v>
      </c>
      <c r="B3" s="119" t="s">
        <v>369</v>
      </c>
      <c r="C3" s="121"/>
      <c r="D3" s="121"/>
      <c r="E3" s="121"/>
      <c r="F3" s="120">
        <f>('Фінансовий потік'!B3+'Фінансовий потік'!B4)*-1</f>
        <v>0</v>
      </c>
      <c r="G3" s="116">
        <f t="shared" ref="G3:G32" si="0">D3+E3</f>
        <v>0</v>
      </c>
    </row>
    <row r="4" spans="1:7" x14ac:dyDescent="0.25">
      <c r="A4" s="426"/>
      <c r="B4" s="46" t="s">
        <v>368</v>
      </c>
      <c r="C4" s="49">
        <f>SUM('Фінансовий потік'!E8:K8)*-1</f>
        <v>520098.712446352</v>
      </c>
      <c r="D4" s="49"/>
      <c r="E4" s="49"/>
      <c r="F4" s="113"/>
      <c r="G4" s="116">
        <f t="shared" si="0"/>
        <v>0</v>
      </c>
    </row>
    <row r="5" spans="1:7" x14ac:dyDescent="0.25">
      <c r="A5" s="426"/>
      <c r="B5" s="46" t="s">
        <v>367</v>
      </c>
      <c r="C5" s="49"/>
      <c r="D5" s="49">
        <f>SUM('Фінансовий потік'!E9:K9)*-1</f>
        <v>239245.40772532194</v>
      </c>
      <c r="E5" s="49">
        <f>(SUM('Фінансовий потік'!E6:P6))*-1</f>
        <v>1867467.1402825245</v>
      </c>
      <c r="F5" s="113"/>
      <c r="G5" s="116">
        <f t="shared" si="0"/>
        <v>2106712.5480078463</v>
      </c>
    </row>
    <row r="6" spans="1:7" x14ac:dyDescent="0.25">
      <c r="A6" s="426" t="s">
        <v>378</v>
      </c>
      <c r="B6" s="119" t="s">
        <v>369</v>
      </c>
      <c r="C6" s="49"/>
      <c r="D6" s="49"/>
      <c r="E6" s="49"/>
      <c r="F6" s="113"/>
      <c r="G6" s="116">
        <f t="shared" si="0"/>
        <v>0</v>
      </c>
    </row>
    <row r="7" spans="1:7" x14ac:dyDescent="0.25">
      <c r="A7" s="426"/>
      <c r="B7" s="46" t="s">
        <v>368</v>
      </c>
      <c r="C7" s="49">
        <f>SUM('Фінансовий потік'!Q8:W8)*-1</f>
        <v>780148.06866952789</v>
      </c>
      <c r="D7" s="49"/>
      <c r="E7" s="49"/>
      <c r="F7" s="113"/>
      <c r="G7" s="116">
        <f t="shared" si="0"/>
        <v>0</v>
      </c>
    </row>
    <row r="8" spans="1:7" x14ac:dyDescent="0.25">
      <c r="A8" s="426"/>
      <c r="B8" s="46" t="s">
        <v>367</v>
      </c>
      <c r="C8" s="49"/>
      <c r="D8" s="49">
        <f>SUM('Фінансовий потік'!Q9:W9)*-1</f>
        <v>358868.11158798286</v>
      </c>
      <c r="E8" s="49">
        <f>SUM('Фінансовий потік'!Q6:AB6)*-1</f>
        <v>1867467.1402825245</v>
      </c>
      <c r="F8" s="113"/>
      <c r="G8" s="116">
        <f t="shared" si="0"/>
        <v>2226335.2518705074</v>
      </c>
    </row>
    <row r="9" spans="1:7" x14ac:dyDescent="0.25">
      <c r="A9" s="426" t="s">
        <v>377</v>
      </c>
      <c r="B9" s="119" t="s">
        <v>369</v>
      </c>
      <c r="C9" s="49"/>
      <c r="D9" s="49"/>
      <c r="E9" s="49"/>
      <c r="F9" s="113"/>
      <c r="G9" s="116">
        <f t="shared" si="0"/>
        <v>0</v>
      </c>
    </row>
    <row r="10" spans="1:7" x14ac:dyDescent="0.25">
      <c r="A10" s="426"/>
      <c r="B10" s="46" t="s">
        <v>368</v>
      </c>
      <c r="C10" s="49">
        <f>SUM('Фінансовий потік'!AC8:AI8)*-1</f>
        <v>1170222.1030042919</v>
      </c>
      <c r="D10" s="49"/>
      <c r="E10" s="49"/>
      <c r="F10" s="113"/>
      <c r="G10" s="116">
        <f t="shared" si="0"/>
        <v>0</v>
      </c>
    </row>
    <row r="11" spans="1:7" x14ac:dyDescent="0.25">
      <c r="A11" s="426"/>
      <c r="B11" s="46" t="s">
        <v>367</v>
      </c>
      <c r="C11" s="49"/>
      <c r="D11" s="49">
        <f>SUM('Фінансовий потік'!AC9:AI9)*-1</f>
        <v>538302.16738197417</v>
      </c>
      <c r="E11" s="49">
        <f>SUM('Фінансовий потік'!AC6:AN6)*-1</f>
        <v>1867467.1402825245</v>
      </c>
      <c r="F11" s="113"/>
      <c r="G11" s="116">
        <f t="shared" si="0"/>
        <v>2405769.3076644987</v>
      </c>
    </row>
    <row r="12" spans="1:7" x14ac:dyDescent="0.25">
      <c r="A12" s="426" t="s">
        <v>376</v>
      </c>
      <c r="B12" s="119" t="s">
        <v>369</v>
      </c>
      <c r="C12" s="49"/>
      <c r="D12" s="49"/>
      <c r="E12" s="49"/>
      <c r="F12" s="113"/>
      <c r="G12" s="116">
        <f t="shared" si="0"/>
        <v>0</v>
      </c>
    </row>
    <row r="13" spans="1:7" x14ac:dyDescent="0.25">
      <c r="A13" s="426"/>
      <c r="B13" s="46" t="s">
        <v>368</v>
      </c>
      <c r="C13" s="49">
        <f>SUM('Фінансовий потік'!AO8:AU8)*-1</f>
        <v>1170222.1030042919</v>
      </c>
      <c r="D13" s="49"/>
      <c r="E13" s="49"/>
      <c r="F13" s="113"/>
      <c r="G13" s="116">
        <f t="shared" si="0"/>
        <v>0</v>
      </c>
    </row>
    <row r="14" spans="1:7" x14ac:dyDescent="0.25">
      <c r="A14" s="426"/>
      <c r="B14" s="46" t="s">
        <v>367</v>
      </c>
      <c r="C14" s="49"/>
      <c r="D14" s="49">
        <f>SUM('Фінансовий потік'!AO9:AU9)*-1</f>
        <v>538302.16738197417</v>
      </c>
      <c r="E14" s="49">
        <f>SUM('Фінансовий потік'!AO6:AZ6)*-1</f>
        <v>1867467.1402825245</v>
      </c>
      <c r="F14" s="113"/>
      <c r="G14" s="116">
        <f t="shared" si="0"/>
        <v>2405769.3076644987</v>
      </c>
    </row>
    <row r="15" spans="1:7" x14ac:dyDescent="0.25">
      <c r="A15" s="426" t="s">
        <v>375</v>
      </c>
      <c r="B15" s="119" t="s">
        <v>369</v>
      </c>
      <c r="C15" s="49"/>
      <c r="D15" s="49"/>
      <c r="E15" s="49"/>
      <c r="F15" s="113"/>
      <c r="G15" s="116">
        <f t="shared" si="0"/>
        <v>0</v>
      </c>
    </row>
    <row r="16" spans="1:7" x14ac:dyDescent="0.25">
      <c r="A16" s="426"/>
      <c r="B16" s="46" t="s">
        <v>368</v>
      </c>
      <c r="C16" s="49">
        <f>SUM('Фінансовий потік'!BA8:BG8)*-1</f>
        <v>1170222.1030042919</v>
      </c>
      <c r="D16" s="49"/>
      <c r="E16" s="49"/>
      <c r="F16" s="113"/>
      <c r="G16" s="116">
        <f t="shared" si="0"/>
        <v>0</v>
      </c>
    </row>
    <row r="17" spans="1:7" x14ac:dyDescent="0.25">
      <c r="A17" s="426"/>
      <c r="B17" s="46" t="s">
        <v>367</v>
      </c>
      <c r="C17" s="49"/>
      <c r="D17" s="49">
        <f>SUM('Фінансовий потік'!BA9:BG9)*-1</f>
        <v>538302.16738197429</v>
      </c>
      <c r="E17" s="49">
        <f>SUM('Фінансовий потік'!BA6:BL6)*-1</f>
        <v>1867467.1402825245</v>
      </c>
      <c r="F17" s="113"/>
      <c r="G17" s="116">
        <f t="shared" si="0"/>
        <v>2405769.3076644987</v>
      </c>
    </row>
    <row r="18" spans="1:7" x14ac:dyDescent="0.25">
      <c r="A18" s="426" t="s">
        <v>374</v>
      </c>
      <c r="B18" s="119" t="s">
        <v>369</v>
      </c>
      <c r="C18" s="49"/>
      <c r="D18" s="49"/>
      <c r="E18" s="49"/>
      <c r="F18" s="113"/>
      <c r="G18" s="116">
        <f t="shared" si="0"/>
        <v>0</v>
      </c>
    </row>
    <row r="19" spans="1:7" x14ac:dyDescent="0.25">
      <c r="A19" s="426"/>
      <c r="B19" s="46" t="s">
        <v>368</v>
      </c>
      <c r="C19" s="49">
        <f>SUM('Фінансовий потік'!BM8:BS8)*-1</f>
        <v>1170222.1030042919</v>
      </c>
      <c r="D19" s="49"/>
      <c r="E19" s="49"/>
      <c r="F19" s="113"/>
      <c r="G19" s="116">
        <f t="shared" si="0"/>
        <v>0</v>
      </c>
    </row>
    <row r="20" spans="1:7" x14ac:dyDescent="0.25">
      <c r="A20" s="426"/>
      <c r="B20" s="46" t="s">
        <v>367</v>
      </c>
      <c r="C20" s="49"/>
      <c r="D20" s="49">
        <f>SUM('Фінансовий потік'!BM9:BS9)*-1</f>
        <v>538302.16738197429</v>
      </c>
      <c r="E20" s="49">
        <v>0</v>
      </c>
      <c r="F20" s="113"/>
      <c r="G20" s="116">
        <f t="shared" si="0"/>
        <v>538302.16738197429</v>
      </c>
    </row>
    <row r="21" spans="1:7" x14ac:dyDescent="0.25">
      <c r="A21" s="426" t="s">
        <v>373</v>
      </c>
      <c r="B21" s="119" t="s">
        <v>369</v>
      </c>
      <c r="C21" s="49"/>
      <c r="D21" s="49"/>
      <c r="E21" s="49"/>
      <c r="F21" s="113"/>
      <c r="G21" s="116">
        <f t="shared" si="0"/>
        <v>0</v>
      </c>
    </row>
    <row r="22" spans="1:7" x14ac:dyDescent="0.25">
      <c r="A22" s="426"/>
      <c r="B22" s="46" t="s">
        <v>368</v>
      </c>
      <c r="C22" s="49">
        <f>SUM('Фінансовий потік'!BY8:CE8)*-1</f>
        <v>1170222.1030042919</v>
      </c>
      <c r="D22" s="49"/>
      <c r="E22" s="49"/>
      <c r="F22" s="113"/>
      <c r="G22" s="116">
        <f t="shared" si="0"/>
        <v>0</v>
      </c>
    </row>
    <row r="23" spans="1:7" x14ac:dyDescent="0.25">
      <c r="A23" s="426"/>
      <c r="B23" s="46" t="s">
        <v>367</v>
      </c>
      <c r="C23" s="49"/>
      <c r="D23" s="49">
        <f>SUM('Фінансовий потік'!BY9:CE9)*-1</f>
        <v>538302.16738197429</v>
      </c>
      <c r="E23" s="49">
        <v>0</v>
      </c>
      <c r="F23" s="113"/>
      <c r="G23" s="116">
        <f t="shared" si="0"/>
        <v>538302.16738197429</v>
      </c>
    </row>
    <row r="24" spans="1:7" x14ac:dyDescent="0.25">
      <c r="A24" s="426" t="s">
        <v>372</v>
      </c>
      <c r="B24" s="119" t="s">
        <v>369</v>
      </c>
      <c r="C24" s="49"/>
      <c r="D24" s="49"/>
      <c r="E24" s="49"/>
      <c r="F24" s="113"/>
      <c r="G24" s="116">
        <f t="shared" si="0"/>
        <v>0</v>
      </c>
    </row>
    <row r="25" spans="1:7" x14ac:dyDescent="0.25">
      <c r="A25" s="426"/>
      <c r="B25" s="46" t="s">
        <v>368</v>
      </c>
      <c r="C25" s="49">
        <f>SUM('Фінансовий потік'!CK8:CQ8)*-1</f>
        <v>1170222.1030042919</v>
      </c>
      <c r="D25" s="49"/>
      <c r="E25" s="49"/>
      <c r="F25" s="113"/>
      <c r="G25" s="116">
        <f t="shared" si="0"/>
        <v>0</v>
      </c>
    </row>
    <row r="26" spans="1:7" x14ac:dyDescent="0.25">
      <c r="A26" s="426"/>
      <c r="B26" s="46" t="s">
        <v>367</v>
      </c>
      <c r="C26" s="49"/>
      <c r="D26" s="49">
        <f>SUM('Фінансовий потік'!CK9:CQ9)*-1</f>
        <v>538302.16738197429</v>
      </c>
      <c r="E26" s="49">
        <v>0</v>
      </c>
      <c r="F26" s="113"/>
      <c r="G26" s="116">
        <f t="shared" si="0"/>
        <v>538302.16738197429</v>
      </c>
    </row>
    <row r="27" spans="1:7" x14ac:dyDescent="0.25">
      <c r="A27" s="426" t="s">
        <v>371</v>
      </c>
      <c r="B27" s="119" t="s">
        <v>369</v>
      </c>
      <c r="C27" s="49"/>
      <c r="D27" s="49"/>
      <c r="E27" s="49"/>
      <c r="F27" s="113"/>
      <c r="G27" s="116">
        <f t="shared" si="0"/>
        <v>0</v>
      </c>
    </row>
    <row r="28" spans="1:7" x14ac:dyDescent="0.25">
      <c r="A28" s="426"/>
      <c r="B28" s="46" t="s">
        <v>368</v>
      </c>
      <c r="C28" s="49">
        <f>SUM('Фінансовий потік'!CW8:DC8)*-1</f>
        <v>1170222.1030042919</v>
      </c>
      <c r="D28" s="49"/>
      <c r="E28" s="49"/>
      <c r="F28" s="113"/>
      <c r="G28" s="116">
        <f t="shared" si="0"/>
        <v>0</v>
      </c>
    </row>
    <row r="29" spans="1:7" x14ac:dyDescent="0.25">
      <c r="A29" s="426"/>
      <c r="B29" s="46" t="s">
        <v>367</v>
      </c>
      <c r="C29" s="49"/>
      <c r="D29" s="49">
        <f>SUM('Фінансовий потік'!CW9:DC9)*-1</f>
        <v>538302.16738197429</v>
      </c>
      <c r="E29" s="49">
        <v>0</v>
      </c>
      <c r="F29" s="113"/>
      <c r="G29" s="116">
        <f t="shared" si="0"/>
        <v>538302.16738197429</v>
      </c>
    </row>
    <row r="30" spans="1:7" x14ac:dyDescent="0.25">
      <c r="A30" s="426" t="s">
        <v>370</v>
      </c>
      <c r="B30" s="119" t="s">
        <v>369</v>
      </c>
      <c r="C30" s="49"/>
      <c r="D30" s="49"/>
      <c r="E30" s="49"/>
      <c r="F30" s="113"/>
      <c r="G30" s="116">
        <f t="shared" si="0"/>
        <v>0</v>
      </c>
    </row>
    <row r="31" spans="1:7" x14ac:dyDescent="0.25">
      <c r="A31" s="426"/>
      <c r="B31" s="46" t="s">
        <v>368</v>
      </c>
      <c r="C31" s="49">
        <f>SUM('Фінансовий потік'!DI8:DO8)*-1</f>
        <v>1170222.1030042919</v>
      </c>
      <c r="D31" s="49"/>
      <c r="E31" s="49"/>
      <c r="F31" s="113"/>
      <c r="G31" s="116">
        <f t="shared" si="0"/>
        <v>0</v>
      </c>
    </row>
    <row r="32" spans="1:7" ht="15.75" thickBot="1" x14ac:dyDescent="0.3">
      <c r="A32" s="427"/>
      <c r="B32" s="118" t="s">
        <v>367</v>
      </c>
      <c r="C32" s="117"/>
      <c r="D32" s="117">
        <f>SUM('Фінансовий потік'!DI9:DO9)*-1</f>
        <v>538302.16738197429</v>
      </c>
      <c r="E32" s="117">
        <v>0</v>
      </c>
      <c r="F32" s="111"/>
      <c r="G32" s="116">
        <f t="shared" si="0"/>
        <v>538302.16738197429</v>
      </c>
    </row>
    <row r="33" spans="1:6" x14ac:dyDescent="0.25">
      <c r="C33" s="73" t="s">
        <v>366</v>
      </c>
      <c r="D33" t="s">
        <v>365</v>
      </c>
      <c r="E33" t="s">
        <v>113</v>
      </c>
      <c r="F33" t="s">
        <v>607</v>
      </c>
    </row>
    <row r="34" spans="1:6" x14ac:dyDescent="0.25">
      <c r="A34" s="73" t="str">
        <f>A3</f>
        <v>2015/2016</v>
      </c>
      <c r="C34" s="84">
        <f>C4</f>
        <v>520098.712446352</v>
      </c>
      <c r="D34" s="84">
        <f>G5</f>
        <v>2106712.5480078463</v>
      </c>
      <c r="E34" s="84">
        <f>C34-D34</f>
        <v>-1586613.8355614943</v>
      </c>
      <c r="F34" s="84">
        <f>C34-D5</f>
        <v>280853.30472103006</v>
      </c>
    </row>
    <row r="35" spans="1:6" x14ac:dyDescent="0.25">
      <c r="A35" s="73" t="str">
        <f>A6</f>
        <v>2016/2017</v>
      </c>
      <c r="C35" s="84">
        <f>C7</f>
        <v>780148.06866952789</v>
      </c>
      <c r="D35" s="84">
        <f>G8</f>
        <v>2226335.2518705074</v>
      </c>
      <c r="E35" s="84">
        <f t="shared" ref="E35:E43" si="1">C35-D35</f>
        <v>-1446187.1832009796</v>
      </c>
      <c r="F35" s="84">
        <f>C35-D8</f>
        <v>421279.95708154503</v>
      </c>
    </row>
    <row r="36" spans="1:6" x14ac:dyDescent="0.25">
      <c r="A36" s="73" t="str">
        <f>A9</f>
        <v>2017/2018</v>
      </c>
      <c r="C36" s="84">
        <f>C10</f>
        <v>1170222.1030042919</v>
      </c>
      <c r="D36" s="84">
        <f>G11</f>
        <v>2405769.3076644987</v>
      </c>
      <c r="E36" s="84">
        <f t="shared" si="1"/>
        <v>-1235547.2046602068</v>
      </c>
      <c r="F36" s="84">
        <f>C36-D11</f>
        <v>631919.93562231772</v>
      </c>
    </row>
    <row r="37" spans="1:6" x14ac:dyDescent="0.25">
      <c r="A37" s="73" t="str">
        <f>A12</f>
        <v>2018/2019</v>
      </c>
      <c r="C37" s="84">
        <f>C13</f>
        <v>1170222.1030042919</v>
      </c>
      <c r="D37" s="84">
        <f>G14</f>
        <v>2405769.3076644987</v>
      </c>
      <c r="E37" s="84">
        <f t="shared" si="1"/>
        <v>-1235547.2046602068</v>
      </c>
    </row>
    <row r="38" spans="1:6" x14ac:dyDescent="0.25">
      <c r="A38" s="73" t="str">
        <f>A15</f>
        <v>2019/2020</v>
      </c>
      <c r="C38" s="84">
        <f>C16</f>
        <v>1170222.1030042919</v>
      </c>
      <c r="D38" s="84">
        <f>G17</f>
        <v>2405769.3076644987</v>
      </c>
      <c r="E38" s="84">
        <f t="shared" si="1"/>
        <v>-1235547.2046602068</v>
      </c>
    </row>
    <row r="39" spans="1:6" x14ac:dyDescent="0.25">
      <c r="A39" s="73" t="str">
        <f>A18</f>
        <v>2020/2021</v>
      </c>
      <c r="C39" s="84">
        <f>C19</f>
        <v>1170222.1030042919</v>
      </c>
      <c r="D39" s="84">
        <f>G20</f>
        <v>538302.16738197429</v>
      </c>
      <c r="E39" s="84">
        <f t="shared" si="1"/>
        <v>631919.9356223176</v>
      </c>
    </row>
    <row r="40" spans="1:6" x14ac:dyDescent="0.25">
      <c r="A40" s="73" t="str">
        <f>A21</f>
        <v>2021/2022</v>
      </c>
      <c r="C40" s="84">
        <f>C22</f>
        <v>1170222.1030042919</v>
      </c>
      <c r="D40" s="84">
        <f>G23</f>
        <v>538302.16738197429</v>
      </c>
      <c r="E40" s="84">
        <f t="shared" si="1"/>
        <v>631919.9356223176</v>
      </c>
    </row>
    <row r="41" spans="1:6" x14ac:dyDescent="0.25">
      <c r="A41" s="73" t="str">
        <f>A24</f>
        <v>2022/2023</v>
      </c>
      <c r="C41" s="84">
        <f>C25</f>
        <v>1170222.1030042919</v>
      </c>
      <c r="D41" s="84">
        <f>G26</f>
        <v>538302.16738197429</v>
      </c>
      <c r="E41" s="84">
        <f t="shared" si="1"/>
        <v>631919.9356223176</v>
      </c>
    </row>
    <row r="42" spans="1:6" x14ac:dyDescent="0.25">
      <c r="A42" s="73" t="str">
        <f>A27</f>
        <v>2023/2024</v>
      </c>
      <c r="C42" s="84">
        <f>C28</f>
        <v>1170222.1030042919</v>
      </c>
      <c r="D42" s="84">
        <f>G29</f>
        <v>538302.16738197429</v>
      </c>
      <c r="E42" s="84">
        <f t="shared" si="1"/>
        <v>631919.9356223176</v>
      </c>
    </row>
    <row r="43" spans="1:6" x14ac:dyDescent="0.25">
      <c r="A43" s="73" t="str">
        <f>A30</f>
        <v>2024/2025</v>
      </c>
      <c r="C43" s="84">
        <f>C31</f>
        <v>1170222.1030042919</v>
      </c>
      <c r="D43" s="84">
        <f>G32</f>
        <v>538302.16738197429</v>
      </c>
      <c r="E43" s="84">
        <f t="shared" si="1"/>
        <v>631919.9356223176</v>
      </c>
    </row>
  </sheetData>
  <mergeCells count="11">
    <mergeCell ref="A24:A26"/>
    <mergeCell ref="A30:A32"/>
    <mergeCell ref="A1:F1"/>
    <mergeCell ref="A3:A5"/>
    <mergeCell ref="A6:A8"/>
    <mergeCell ref="A9:A11"/>
    <mergeCell ref="A27:A29"/>
    <mergeCell ref="A12:A14"/>
    <mergeCell ref="A15:A17"/>
    <mergeCell ref="A18:A20"/>
    <mergeCell ref="A21:A2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topLeftCell="A9" workbookViewId="0">
      <selection activeCell="D11" sqref="D11"/>
    </sheetView>
  </sheetViews>
  <sheetFormatPr defaultRowHeight="15" x14ac:dyDescent="0.25"/>
  <cols>
    <col min="1" max="1" width="12" style="73" customWidth="1"/>
    <col min="2" max="2" width="22" customWidth="1"/>
    <col min="3" max="3" width="35.140625" customWidth="1"/>
    <col min="4" max="4" width="28" customWidth="1"/>
    <col min="5" max="5" width="24.5703125" customWidth="1"/>
    <col min="6" max="6" width="22.42578125" customWidth="1"/>
    <col min="7" max="7" width="11" bestFit="1" customWidth="1"/>
    <col min="8" max="8" width="9.85546875" customWidth="1"/>
    <col min="9" max="9" width="11" bestFit="1" customWidth="1"/>
    <col min="10" max="10" width="9.85546875" customWidth="1"/>
    <col min="11" max="11" width="11" bestFit="1" customWidth="1"/>
    <col min="12" max="12" width="10.28515625" customWidth="1"/>
    <col min="13" max="13" width="11" bestFit="1" customWidth="1"/>
    <col min="14" max="14" width="9.85546875" customWidth="1"/>
    <col min="15" max="15" width="11" bestFit="1" customWidth="1"/>
    <col min="16" max="16" width="9.85546875" customWidth="1"/>
    <col min="17" max="17" width="11" bestFit="1" customWidth="1"/>
    <col min="18" max="18" width="9.85546875" customWidth="1"/>
    <col min="19" max="19" width="11" bestFit="1" customWidth="1"/>
    <col min="20" max="20" width="9.85546875" customWidth="1"/>
    <col min="21" max="21" width="11" bestFit="1" customWidth="1"/>
  </cols>
  <sheetData>
    <row r="1" spans="1:6" ht="318" customHeight="1" thickBot="1" x14ac:dyDescent="0.3">
      <c r="A1" s="428"/>
      <c r="B1" s="428"/>
      <c r="C1" s="428"/>
      <c r="D1" s="428"/>
      <c r="E1" s="428"/>
      <c r="F1" s="428"/>
    </row>
    <row r="2" spans="1:6" s="87" customFormat="1" ht="75" x14ac:dyDescent="0.25">
      <c r="A2" s="124"/>
      <c r="B2" s="123"/>
      <c r="C2" s="123" t="s">
        <v>388</v>
      </c>
      <c r="D2" s="123" t="s">
        <v>387</v>
      </c>
      <c r="E2" s="123" t="s">
        <v>386</v>
      </c>
      <c r="F2" s="122" t="s">
        <v>385</v>
      </c>
    </row>
    <row r="3" spans="1:6" s="87" customFormat="1" x14ac:dyDescent="0.25">
      <c r="A3" s="429" t="s">
        <v>379</v>
      </c>
      <c r="B3" s="129" t="s">
        <v>384</v>
      </c>
      <c r="C3" s="131"/>
      <c r="D3" s="131"/>
      <c r="E3" s="131"/>
      <c r="F3" s="130">
        <f>'Порівняння платежів'!F3/'Вхідні дані'!$B$37</f>
        <v>0</v>
      </c>
    </row>
    <row r="4" spans="1:6" x14ac:dyDescent="0.25">
      <c r="A4" s="430"/>
      <c r="B4" s="46" t="s">
        <v>368</v>
      </c>
      <c r="C4" s="128">
        <f>'Порівняння платежів'!C4/'Вхідні дані'!$B$37*30.29/'Вхідні дані'!$B$42</f>
        <v>10.056179775280901</v>
      </c>
      <c r="D4" s="128"/>
      <c r="E4" s="128"/>
      <c r="F4" s="127"/>
    </row>
    <row r="5" spans="1:6" x14ac:dyDescent="0.25">
      <c r="A5" s="431"/>
      <c r="B5" s="46" t="s">
        <v>367</v>
      </c>
      <c r="C5" s="128"/>
      <c r="D5" s="128">
        <f>'Порівняння платежів'!D5/'Вхідні дані'!$B$37*30.29/'Вхідні дані'!$B$42</f>
        <v>4.6258426966292143</v>
      </c>
      <c r="E5" s="128">
        <f>'Порівняння платежів'!E5/'Вхідні дані'!$B$37/6</f>
        <v>35.364677125374477</v>
      </c>
      <c r="F5" s="127"/>
    </row>
    <row r="6" spans="1:6" x14ac:dyDescent="0.25">
      <c r="A6" s="429" t="s">
        <v>378</v>
      </c>
      <c r="B6" s="46" t="s">
        <v>384</v>
      </c>
      <c r="C6" s="128"/>
      <c r="D6" s="128"/>
      <c r="E6" s="128"/>
      <c r="F6" s="127"/>
    </row>
    <row r="7" spans="1:6" x14ac:dyDescent="0.25">
      <c r="A7" s="430"/>
      <c r="B7" s="46" t="s">
        <v>368</v>
      </c>
      <c r="C7" s="128">
        <f>'Порівняння платежів'!C7/'Вхідні дані'!$B$37*30.29/'Вхідні дані'!$B$42</f>
        <v>15.084269662921349</v>
      </c>
      <c r="D7" s="128"/>
      <c r="E7" s="128"/>
      <c r="F7" s="127"/>
    </row>
    <row r="8" spans="1:6" x14ac:dyDescent="0.25">
      <c r="A8" s="431"/>
      <c r="B8" s="46" t="s">
        <v>367</v>
      </c>
      <c r="C8" s="128"/>
      <c r="D8" s="128">
        <f>'Порівняння платежів'!D8/'Вхідні дані'!$B$37*30.29/'Вхідні дані'!$B$42</f>
        <v>6.9387640449438202</v>
      </c>
      <c r="E8" s="128">
        <f>'Порівняння платежів'!E8/'Вхідні дані'!$B$37/6</f>
        <v>35.364677125374477</v>
      </c>
      <c r="F8" s="127"/>
    </row>
    <row r="9" spans="1:6" x14ac:dyDescent="0.25">
      <c r="A9" s="429" t="s">
        <v>377</v>
      </c>
      <c r="B9" s="129" t="s">
        <v>384</v>
      </c>
      <c r="C9" s="128"/>
      <c r="D9" s="128"/>
      <c r="E9" s="128"/>
      <c r="F9" s="127"/>
    </row>
    <row r="10" spans="1:6" x14ac:dyDescent="0.25">
      <c r="A10" s="430"/>
      <c r="B10" s="46" t="s">
        <v>368</v>
      </c>
      <c r="C10" s="128">
        <f>'Порівняння платежів'!C10/'Вхідні дані'!$B$37*30.29/'Вхідні дані'!$B$42</f>
        <v>22.626404494382026</v>
      </c>
      <c r="D10" s="128"/>
      <c r="E10" s="128"/>
      <c r="F10" s="127"/>
    </row>
    <row r="11" spans="1:6" x14ac:dyDescent="0.25">
      <c r="A11" s="431"/>
      <c r="B11" s="46" t="s">
        <v>367</v>
      </c>
      <c r="C11" s="128"/>
      <c r="D11" s="128">
        <f>'Порівняння платежів'!D11/'Вхідні дані'!$B$37*30.29/'Вхідні дані'!$B$42</f>
        <v>10.408146067415728</v>
      </c>
      <c r="E11" s="128">
        <f>'Порівняння платежів'!E11/'Вхідні дані'!$B$37/6</f>
        <v>35.364677125374477</v>
      </c>
      <c r="F11" s="127"/>
    </row>
    <row r="12" spans="1:6" x14ac:dyDescent="0.25">
      <c r="A12" s="429" t="s">
        <v>376</v>
      </c>
      <c r="B12" s="129" t="s">
        <v>384</v>
      </c>
      <c r="C12" s="128"/>
      <c r="D12" s="128"/>
      <c r="E12" s="128"/>
      <c r="F12" s="127"/>
    </row>
    <row r="13" spans="1:6" x14ac:dyDescent="0.25">
      <c r="A13" s="430"/>
      <c r="B13" s="46" t="s">
        <v>368</v>
      </c>
      <c r="C13" s="128">
        <f>'Порівняння платежів'!C13/'Вхідні дані'!$B$37*30.29/'Вхідні дані'!$B$42</f>
        <v>22.626404494382026</v>
      </c>
      <c r="D13" s="128"/>
      <c r="E13" s="128"/>
      <c r="F13" s="127"/>
    </row>
    <row r="14" spans="1:6" x14ac:dyDescent="0.25">
      <c r="A14" s="431"/>
      <c r="B14" s="46" t="s">
        <v>367</v>
      </c>
      <c r="C14" s="128"/>
      <c r="D14" s="128">
        <f>'Порівняння платежів'!D14/'Вхідні дані'!$B$37*30.29/'Вхідні дані'!$B$42</f>
        <v>10.408146067415728</v>
      </c>
      <c r="E14" s="128">
        <f>'Порівняння платежів'!E14/'Вхідні дані'!$B$37/6</f>
        <v>35.364677125374477</v>
      </c>
      <c r="F14" s="127"/>
    </row>
    <row r="15" spans="1:6" x14ac:dyDescent="0.25">
      <c r="A15" s="429" t="s">
        <v>375</v>
      </c>
      <c r="B15" s="129" t="s">
        <v>384</v>
      </c>
      <c r="C15" s="128"/>
      <c r="D15" s="128"/>
      <c r="E15" s="128"/>
      <c r="F15" s="127"/>
    </row>
    <row r="16" spans="1:6" x14ac:dyDescent="0.25">
      <c r="A16" s="430"/>
      <c r="B16" s="46" t="s">
        <v>368</v>
      </c>
      <c r="C16" s="128">
        <f>'Порівняння платежів'!C16/'Вхідні дані'!$B$37*30.29/'Вхідні дані'!$B$42</f>
        <v>22.626404494382026</v>
      </c>
      <c r="D16" s="128"/>
      <c r="E16" s="128"/>
      <c r="F16" s="127"/>
    </row>
    <row r="17" spans="1:6" x14ac:dyDescent="0.25">
      <c r="A17" s="431"/>
      <c r="B17" s="46" t="s">
        <v>367</v>
      </c>
      <c r="C17" s="128"/>
      <c r="D17" s="128">
        <f>'Порівняння платежів'!D17/'Вхідні дані'!$B$37*30.29/'Вхідні дані'!$B$42</f>
        <v>10.40814606741573</v>
      </c>
      <c r="E17" s="128">
        <f>'Порівняння платежів'!E17/'Вхідні дані'!$B$37/6</f>
        <v>35.364677125374477</v>
      </c>
      <c r="F17" s="127"/>
    </row>
    <row r="18" spans="1:6" x14ac:dyDescent="0.25">
      <c r="A18" s="429" t="s">
        <v>374</v>
      </c>
      <c r="B18" s="129" t="s">
        <v>384</v>
      </c>
      <c r="C18" s="128"/>
      <c r="D18" s="128"/>
      <c r="E18" s="128"/>
      <c r="F18" s="127"/>
    </row>
    <row r="19" spans="1:6" x14ac:dyDescent="0.25">
      <c r="A19" s="430"/>
      <c r="B19" s="46" t="s">
        <v>368</v>
      </c>
      <c r="C19" s="128">
        <f>'Порівняння платежів'!C19/'Вхідні дані'!$B$37*30.29/'Вхідні дані'!$B$42</f>
        <v>22.626404494382026</v>
      </c>
      <c r="D19" s="128"/>
      <c r="E19" s="128"/>
      <c r="F19" s="127"/>
    </row>
    <row r="20" spans="1:6" x14ac:dyDescent="0.25">
      <c r="A20" s="431"/>
      <c r="B20" s="46" t="s">
        <v>367</v>
      </c>
      <c r="C20" s="128"/>
      <c r="D20" s="128">
        <f>'Порівняння платежів'!D20/'Вхідні дані'!$B$37*30.29/'Вхідні дані'!$B$42</f>
        <v>10.40814606741573</v>
      </c>
      <c r="E20" s="128"/>
      <c r="F20" s="127"/>
    </row>
    <row r="21" spans="1:6" x14ac:dyDescent="0.25">
      <c r="A21" s="429" t="s">
        <v>373</v>
      </c>
      <c r="B21" s="129" t="s">
        <v>384</v>
      </c>
      <c r="C21" s="128"/>
      <c r="D21" s="128"/>
      <c r="E21" s="128"/>
      <c r="F21" s="127"/>
    </row>
    <row r="22" spans="1:6" x14ac:dyDescent="0.25">
      <c r="A22" s="430"/>
      <c r="B22" s="46" t="s">
        <v>368</v>
      </c>
      <c r="C22" s="128">
        <f>'Порівняння платежів'!C22/'Вхідні дані'!$B$37*30.29/'Вхідні дані'!$B$42</f>
        <v>22.626404494382026</v>
      </c>
      <c r="D22" s="128"/>
      <c r="E22" s="128"/>
      <c r="F22" s="127"/>
    </row>
    <row r="23" spans="1:6" x14ac:dyDescent="0.25">
      <c r="A23" s="431"/>
      <c r="B23" s="46" t="s">
        <v>367</v>
      </c>
      <c r="C23" s="128"/>
      <c r="D23" s="128">
        <f>'Порівняння платежів'!D23/'Вхідні дані'!$B$37*30.29/'Вхідні дані'!$B$42</f>
        <v>10.40814606741573</v>
      </c>
      <c r="E23" s="128"/>
      <c r="F23" s="127"/>
    </row>
    <row r="24" spans="1:6" x14ac:dyDescent="0.25">
      <c r="A24" s="429" t="s">
        <v>372</v>
      </c>
      <c r="B24" s="129" t="s">
        <v>384</v>
      </c>
      <c r="C24" s="128"/>
      <c r="D24" s="128"/>
      <c r="E24" s="128"/>
      <c r="F24" s="127"/>
    </row>
    <row r="25" spans="1:6" x14ac:dyDescent="0.25">
      <c r="A25" s="430"/>
      <c r="B25" s="46" t="s">
        <v>368</v>
      </c>
      <c r="C25" s="128">
        <f>'Порівняння платежів'!C25/'Вхідні дані'!$B$37*30.29/'Вхідні дані'!$B$42</f>
        <v>22.626404494382026</v>
      </c>
      <c r="D25" s="128"/>
      <c r="E25" s="128"/>
      <c r="F25" s="127"/>
    </row>
    <row r="26" spans="1:6" x14ac:dyDescent="0.25">
      <c r="A26" s="431"/>
      <c r="B26" s="46" t="s">
        <v>367</v>
      </c>
      <c r="C26" s="128"/>
      <c r="D26" s="128">
        <f>'Порівняння платежів'!D26/'Вхідні дані'!$B$37*30.29/'Вхідні дані'!$B$42</f>
        <v>10.40814606741573</v>
      </c>
      <c r="E26" s="128"/>
      <c r="F26" s="127"/>
    </row>
    <row r="27" spans="1:6" x14ac:dyDescent="0.25">
      <c r="A27" s="429" t="s">
        <v>371</v>
      </c>
      <c r="B27" s="129" t="s">
        <v>384</v>
      </c>
      <c r="C27" s="128"/>
      <c r="D27" s="128"/>
      <c r="E27" s="128"/>
      <c r="F27" s="127"/>
    </row>
    <row r="28" spans="1:6" x14ac:dyDescent="0.25">
      <c r="A28" s="430"/>
      <c r="B28" s="46" t="s">
        <v>368</v>
      </c>
      <c r="C28" s="128">
        <f>'Порівняння платежів'!C28/'Вхідні дані'!$B$37*30.29/'Вхідні дані'!$B$42</f>
        <v>22.626404494382026</v>
      </c>
      <c r="D28" s="128"/>
      <c r="E28" s="128"/>
      <c r="F28" s="127"/>
    </row>
    <row r="29" spans="1:6" x14ac:dyDescent="0.25">
      <c r="A29" s="431"/>
      <c r="B29" s="46" t="s">
        <v>367</v>
      </c>
      <c r="C29" s="128"/>
      <c r="D29" s="128">
        <f>'Порівняння платежів'!D29/'Вхідні дані'!$B$37*30.29/'Вхідні дані'!$B$42</f>
        <v>10.40814606741573</v>
      </c>
      <c r="E29" s="128"/>
      <c r="F29" s="127"/>
    </row>
    <row r="30" spans="1:6" x14ac:dyDescent="0.25">
      <c r="A30" s="429" t="s">
        <v>370</v>
      </c>
      <c r="B30" s="129" t="s">
        <v>384</v>
      </c>
      <c r="C30" s="128"/>
      <c r="D30" s="128"/>
      <c r="E30" s="128"/>
      <c r="F30" s="127"/>
    </row>
    <row r="31" spans="1:6" x14ac:dyDescent="0.25">
      <c r="A31" s="430"/>
      <c r="B31" s="46" t="s">
        <v>368</v>
      </c>
      <c r="C31" s="128">
        <f>'Порівняння платежів'!C31/'Вхідні дані'!$B$37*30.29/'Вхідні дані'!$B$42</f>
        <v>22.626404494382026</v>
      </c>
      <c r="D31" s="128"/>
      <c r="E31" s="128"/>
      <c r="F31" s="127"/>
    </row>
    <row r="32" spans="1:6" ht="15.75" thickBot="1" x14ac:dyDescent="0.3">
      <c r="A32" s="432"/>
      <c r="B32" s="118" t="s">
        <v>367</v>
      </c>
      <c r="C32" s="126"/>
      <c r="D32" s="126">
        <f>'Порівняння платежів'!D32/'Вхідні дані'!$B$37*30.29/'Вхідні дані'!$B$42</f>
        <v>10.40814606741573</v>
      </c>
      <c r="E32" s="126"/>
      <c r="F32" s="125"/>
    </row>
  </sheetData>
  <mergeCells count="11">
    <mergeCell ref="A30:A32"/>
    <mergeCell ref="A15:A17"/>
    <mergeCell ref="A18:A20"/>
    <mergeCell ref="A21:A23"/>
    <mergeCell ref="A24:A26"/>
    <mergeCell ref="A27:A29"/>
    <mergeCell ref="A1:F1"/>
    <mergeCell ref="A3:A5"/>
    <mergeCell ref="A6:A8"/>
    <mergeCell ref="A9:A11"/>
    <mergeCell ref="A12:A14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38"/>
  <sheetViews>
    <sheetView topLeftCell="A109" workbookViewId="0">
      <selection activeCell="D11" sqref="D11"/>
    </sheetView>
  </sheetViews>
  <sheetFormatPr defaultRowHeight="15" x14ac:dyDescent="0.25"/>
  <cols>
    <col min="1" max="1" width="55.140625" customWidth="1"/>
    <col min="2" max="2" width="33.5703125" customWidth="1"/>
    <col min="3" max="3" width="31" customWidth="1"/>
    <col min="4" max="4" width="46.28515625" customWidth="1"/>
  </cols>
  <sheetData>
    <row r="1" spans="1:3" ht="119.25" customHeight="1" x14ac:dyDescent="0.25">
      <c r="A1" s="435" t="s">
        <v>598</v>
      </c>
      <c r="B1" s="436"/>
      <c r="C1" s="437"/>
    </row>
    <row r="2" spans="1:3" s="73" customFormat="1" x14ac:dyDescent="0.25">
      <c r="A2" s="147" t="s">
        <v>597</v>
      </c>
      <c r="B2" s="59" t="s">
        <v>596</v>
      </c>
      <c r="C2" s="146" t="s">
        <v>595</v>
      </c>
    </row>
    <row r="3" spans="1:3" x14ac:dyDescent="0.25">
      <c r="A3" s="143" t="s">
        <v>594</v>
      </c>
      <c r="B3" s="46"/>
      <c r="C3" s="139"/>
    </row>
    <row r="4" spans="1:3" x14ac:dyDescent="0.25">
      <c r="A4" s="142" t="s">
        <v>132</v>
      </c>
      <c r="B4" s="46"/>
      <c r="C4" s="139"/>
    </row>
    <row r="5" spans="1:3" ht="30" x14ac:dyDescent="0.25">
      <c r="A5" s="141" t="s">
        <v>593</v>
      </c>
      <c r="B5" s="140">
        <v>334.96805709331198</v>
      </c>
      <c r="C5" s="139">
        <v>344.79</v>
      </c>
    </row>
    <row r="6" spans="1:3" x14ac:dyDescent="0.25">
      <c r="A6" s="141" t="s">
        <v>592</v>
      </c>
      <c r="B6" s="140">
        <v>689.5655258065741</v>
      </c>
      <c r="C6" s="139">
        <v>699.54</v>
      </c>
    </row>
    <row r="7" spans="1:3" x14ac:dyDescent="0.25">
      <c r="A7" s="141" t="s">
        <v>591</v>
      </c>
      <c r="B7" s="140">
        <v>761.26819940464259</v>
      </c>
      <c r="C7" s="139">
        <v>779.4</v>
      </c>
    </row>
    <row r="8" spans="1:3" x14ac:dyDescent="0.25">
      <c r="A8" s="141" t="s">
        <v>590</v>
      </c>
      <c r="B8" s="140">
        <v>638.40162388028307</v>
      </c>
      <c r="C8" s="144">
        <f>B8</f>
        <v>638.40162388028307</v>
      </c>
    </row>
    <row r="9" spans="1:3" x14ac:dyDescent="0.25">
      <c r="A9" s="141" t="s">
        <v>589</v>
      </c>
      <c r="B9" s="140">
        <v>508.69774690717236</v>
      </c>
      <c r="C9" s="139">
        <v>521</v>
      </c>
    </row>
    <row r="10" spans="1:3" x14ac:dyDescent="0.25">
      <c r="A10" s="143" t="s">
        <v>588</v>
      </c>
      <c r="B10" s="46">
        <v>0</v>
      </c>
      <c r="C10" s="139"/>
    </row>
    <row r="11" spans="1:3" x14ac:dyDescent="0.25">
      <c r="A11" s="142" t="s">
        <v>132</v>
      </c>
      <c r="B11" s="46">
        <v>0</v>
      </c>
      <c r="C11" s="139"/>
    </row>
    <row r="12" spans="1:3" ht="30" x14ac:dyDescent="0.25">
      <c r="A12" s="141" t="s">
        <v>587</v>
      </c>
      <c r="B12" s="140">
        <v>690.3358490112297</v>
      </c>
      <c r="C12" s="139">
        <v>706.58</v>
      </c>
    </row>
    <row r="13" spans="1:3" x14ac:dyDescent="0.25">
      <c r="A13" s="141" t="s">
        <v>586</v>
      </c>
      <c r="B13" s="140">
        <v>681.95583324391328</v>
      </c>
      <c r="C13" s="139">
        <v>691.84</v>
      </c>
    </row>
    <row r="14" spans="1:3" ht="30" x14ac:dyDescent="0.25">
      <c r="A14" s="141" t="s">
        <v>585</v>
      </c>
      <c r="B14" s="140">
        <v>697.35559415472744</v>
      </c>
      <c r="C14" s="139">
        <v>710.9</v>
      </c>
    </row>
    <row r="15" spans="1:3" x14ac:dyDescent="0.25">
      <c r="A15" s="141" t="s">
        <v>584</v>
      </c>
      <c r="B15" s="140">
        <v>701.21009392657368</v>
      </c>
      <c r="C15" s="139">
        <v>712.89</v>
      </c>
    </row>
    <row r="16" spans="1:3" x14ac:dyDescent="0.25">
      <c r="A16" s="141" t="s">
        <v>583</v>
      </c>
      <c r="B16" s="140">
        <v>507.5064310828252</v>
      </c>
      <c r="C16" s="145">
        <f>B16</f>
        <v>507.5064310828252</v>
      </c>
    </row>
    <row r="17" spans="1:3" x14ac:dyDescent="0.25">
      <c r="A17" s="143" t="s">
        <v>582</v>
      </c>
      <c r="B17" s="46">
        <v>0</v>
      </c>
      <c r="C17" s="139"/>
    </row>
    <row r="18" spans="1:3" x14ac:dyDescent="0.25">
      <c r="A18" s="142" t="s">
        <v>132</v>
      </c>
      <c r="B18" s="46">
        <v>0</v>
      </c>
      <c r="C18" s="139"/>
    </row>
    <row r="19" spans="1:3" x14ac:dyDescent="0.25">
      <c r="A19" s="141" t="s">
        <v>581</v>
      </c>
      <c r="B19" s="140">
        <v>653.19697475903206</v>
      </c>
      <c r="C19" s="139">
        <v>667.83</v>
      </c>
    </row>
    <row r="20" spans="1:3" ht="30" x14ac:dyDescent="0.25">
      <c r="A20" s="141" t="s">
        <v>580</v>
      </c>
      <c r="B20" s="140">
        <v>354.68909262642012</v>
      </c>
      <c r="C20" s="139">
        <v>360.86</v>
      </c>
    </row>
    <row r="21" spans="1:3" x14ac:dyDescent="0.25">
      <c r="A21" s="141" t="s">
        <v>579</v>
      </c>
      <c r="B21" s="140">
        <v>668.30399999999997</v>
      </c>
      <c r="C21" s="139">
        <v>686.2</v>
      </c>
    </row>
    <row r="22" spans="1:3" x14ac:dyDescent="0.25">
      <c r="A22" s="141" t="s">
        <v>578</v>
      </c>
      <c r="B22" s="140">
        <v>738.00497201696419</v>
      </c>
      <c r="C22" s="145">
        <f>B22</f>
        <v>738.00497201696419</v>
      </c>
    </row>
    <row r="23" spans="1:3" x14ac:dyDescent="0.25">
      <c r="A23" s="141" t="s">
        <v>577</v>
      </c>
      <c r="B23" s="140">
        <v>466.02039798178595</v>
      </c>
      <c r="C23" s="139">
        <v>481.1</v>
      </c>
    </row>
    <row r="24" spans="1:3" x14ac:dyDescent="0.25">
      <c r="A24" s="141" t="s">
        <v>576</v>
      </c>
      <c r="B24" s="140">
        <v>693.36688064952523</v>
      </c>
      <c r="C24" s="139">
        <v>712.81</v>
      </c>
    </row>
    <row r="25" spans="1:3" x14ac:dyDescent="0.25">
      <c r="A25" s="141" t="s">
        <v>575</v>
      </c>
      <c r="B25" s="140">
        <v>695.18330244580272</v>
      </c>
      <c r="C25" s="139">
        <v>707.63</v>
      </c>
    </row>
    <row r="26" spans="1:3" x14ac:dyDescent="0.25">
      <c r="A26" s="141" t="s">
        <v>574</v>
      </c>
      <c r="B26" s="140">
        <v>742.57699228970228</v>
      </c>
      <c r="C26" s="139">
        <v>764.02</v>
      </c>
    </row>
    <row r="27" spans="1:3" x14ac:dyDescent="0.25">
      <c r="A27" s="141" t="s">
        <v>573</v>
      </c>
      <c r="B27" s="140">
        <v>707.60399999999993</v>
      </c>
      <c r="C27" s="139">
        <v>725.48</v>
      </c>
    </row>
    <row r="28" spans="1:3" x14ac:dyDescent="0.25">
      <c r="A28" s="141" t="s">
        <v>572</v>
      </c>
      <c r="B28" s="140">
        <v>944.66508747662886</v>
      </c>
      <c r="C28" s="139">
        <v>971.34</v>
      </c>
    </row>
    <row r="29" spans="1:3" x14ac:dyDescent="0.25">
      <c r="A29" s="141" t="s">
        <v>571</v>
      </c>
      <c r="B29" s="140">
        <v>702.1774537106611</v>
      </c>
      <c r="C29" s="139">
        <v>720.15</v>
      </c>
    </row>
    <row r="30" spans="1:3" x14ac:dyDescent="0.25">
      <c r="A30" s="141" t="s">
        <v>570</v>
      </c>
      <c r="B30" s="140">
        <v>674.79600000000005</v>
      </c>
      <c r="C30" s="139">
        <v>696.15</v>
      </c>
    </row>
    <row r="31" spans="1:3" x14ac:dyDescent="0.25">
      <c r="A31" s="141" t="s">
        <v>569</v>
      </c>
      <c r="B31" s="140">
        <v>773.61874978116782</v>
      </c>
      <c r="C31" s="139">
        <v>792.4</v>
      </c>
    </row>
    <row r="32" spans="1:3" ht="30" x14ac:dyDescent="0.25">
      <c r="A32" s="141" t="s">
        <v>568</v>
      </c>
      <c r="B32" s="140">
        <v>688.6100218529017</v>
      </c>
      <c r="C32" s="139">
        <v>702.67</v>
      </c>
    </row>
    <row r="33" spans="1:3" x14ac:dyDescent="0.25">
      <c r="A33" s="141" t="s">
        <v>567</v>
      </c>
      <c r="B33" s="140">
        <v>385.44272513651759</v>
      </c>
      <c r="C33" s="139">
        <v>394.07</v>
      </c>
    </row>
    <row r="34" spans="1:3" x14ac:dyDescent="0.25">
      <c r="A34" s="141" t="s">
        <v>566</v>
      </c>
      <c r="B34" s="140">
        <v>396.56549051253211</v>
      </c>
      <c r="C34" s="139">
        <v>421.73</v>
      </c>
    </row>
    <row r="35" spans="1:3" ht="30" x14ac:dyDescent="0.25">
      <c r="A35" s="141" t="s">
        <v>565</v>
      </c>
      <c r="B35" s="140">
        <v>409.34804942283853</v>
      </c>
      <c r="C35" s="139">
        <v>414.67</v>
      </c>
    </row>
    <row r="36" spans="1:3" x14ac:dyDescent="0.25">
      <c r="A36" s="141" t="s">
        <v>564</v>
      </c>
      <c r="B36" s="140">
        <v>608.65273502149626</v>
      </c>
      <c r="C36" s="139">
        <v>619.52</v>
      </c>
    </row>
    <row r="37" spans="1:3" ht="30" x14ac:dyDescent="0.25">
      <c r="A37" s="141" t="s">
        <v>563</v>
      </c>
      <c r="B37" s="140"/>
      <c r="C37" s="139">
        <v>680.21</v>
      </c>
    </row>
    <row r="38" spans="1:3" x14ac:dyDescent="0.25">
      <c r="A38" s="143" t="s">
        <v>562</v>
      </c>
      <c r="B38" s="46">
        <v>0</v>
      </c>
      <c r="C38" s="139"/>
    </row>
    <row r="39" spans="1:3" x14ac:dyDescent="0.25">
      <c r="A39" s="142" t="s">
        <v>132</v>
      </c>
      <c r="B39" s="46">
        <v>0</v>
      </c>
      <c r="C39" s="139"/>
    </row>
    <row r="40" spans="1:3" ht="30" x14ac:dyDescent="0.25">
      <c r="A40" s="141" t="s">
        <v>561</v>
      </c>
      <c r="B40" s="140">
        <v>669.11436563875543</v>
      </c>
      <c r="C40" s="139">
        <v>684.05</v>
      </c>
    </row>
    <row r="41" spans="1:3" x14ac:dyDescent="0.25">
      <c r="A41" s="141" t="s">
        <v>560</v>
      </c>
      <c r="B41" s="140">
        <v>684.12489581826878</v>
      </c>
      <c r="C41" s="139">
        <v>704.61</v>
      </c>
    </row>
    <row r="42" spans="1:3" x14ac:dyDescent="0.25">
      <c r="A42" s="141" t="s">
        <v>559</v>
      </c>
      <c r="B42" s="140">
        <v>645.98527301802767</v>
      </c>
      <c r="C42" s="139">
        <v>659.54</v>
      </c>
    </row>
    <row r="43" spans="1:3" x14ac:dyDescent="0.25">
      <c r="A43" s="141" t="s">
        <v>558</v>
      </c>
      <c r="B43" s="140">
        <v>746.20799999999997</v>
      </c>
      <c r="C43" s="139">
        <v>756.53</v>
      </c>
    </row>
    <row r="44" spans="1:3" x14ac:dyDescent="0.25">
      <c r="A44" s="141" t="s">
        <v>557</v>
      </c>
      <c r="B44" s="140">
        <v>753.55290628468288</v>
      </c>
      <c r="C44" s="139">
        <v>766.48</v>
      </c>
    </row>
    <row r="45" spans="1:3" x14ac:dyDescent="0.25">
      <c r="A45" s="141" t="s">
        <v>556</v>
      </c>
      <c r="B45" s="140">
        <v>738.73392645795695</v>
      </c>
      <c r="C45" s="139">
        <v>754.67</v>
      </c>
    </row>
    <row r="46" spans="1:3" x14ac:dyDescent="0.25">
      <c r="A46" s="141" t="s">
        <v>555</v>
      </c>
      <c r="B46" s="140">
        <v>779.5600818216592</v>
      </c>
      <c r="C46" s="139">
        <v>798.72</v>
      </c>
    </row>
    <row r="47" spans="1:3" x14ac:dyDescent="0.25">
      <c r="A47" s="141" t="s">
        <v>554</v>
      </c>
      <c r="B47" s="140">
        <v>788.23199999999997</v>
      </c>
      <c r="C47" s="139">
        <v>814.59</v>
      </c>
    </row>
    <row r="48" spans="1:3" x14ac:dyDescent="0.25">
      <c r="A48" s="141" t="s">
        <v>553</v>
      </c>
      <c r="B48" s="140">
        <v>310.21199999999999</v>
      </c>
      <c r="C48" s="145">
        <f>B48</f>
        <v>310.21199999999999</v>
      </c>
    </row>
    <row r="49" spans="1:3" x14ac:dyDescent="0.25">
      <c r="A49" s="141" t="s">
        <v>552</v>
      </c>
      <c r="B49" s="140">
        <v>461.91899063712629</v>
      </c>
      <c r="C49" s="139">
        <v>467</v>
      </c>
    </row>
    <row r="50" spans="1:3" x14ac:dyDescent="0.25">
      <c r="A50" s="141" t="s">
        <v>551</v>
      </c>
      <c r="B50" s="140">
        <v>645.86716386356989</v>
      </c>
      <c r="C50" s="139">
        <v>660.3</v>
      </c>
    </row>
    <row r="51" spans="1:3" x14ac:dyDescent="0.25">
      <c r="A51" s="141" t="s">
        <v>550</v>
      </c>
      <c r="B51" s="140">
        <v>693.98094757170236</v>
      </c>
      <c r="C51" s="139">
        <v>705.08</v>
      </c>
    </row>
    <row r="52" spans="1:3" x14ac:dyDescent="0.25">
      <c r="A52" s="141" t="s">
        <v>549</v>
      </c>
      <c r="B52" s="140">
        <v>478.6665028674696</v>
      </c>
      <c r="C52" s="139">
        <v>487.54</v>
      </c>
    </row>
    <row r="53" spans="1:3" x14ac:dyDescent="0.25">
      <c r="A53" s="141" t="s">
        <v>548</v>
      </c>
      <c r="B53" s="140">
        <v>654.05999999999995</v>
      </c>
      <c r="C53" s="139">
        <v>667.35</v>
      </c>
    </row>
    <row r="54" spans="1:3" x14ac:dyDescent="0.25">
      <c r="A54" s="141" t="s">
        <v>547</v>
      </c>
      <c r="B54" s="140">
        <v>646.65150943508377</v>
      </c>
      <c r="C54" s="139">
        <v>661.06</v>
      </c>
    </row>
    <row r="55" spans="1:3" x14ac:dyDescent="0.25">
      <c r="A55" s="141" t="s">
        <v>546</v>
      </c>
      <c r="B55" s="140">
        <v>513.93450286746952</v>
      </c>
      <c r="C55" s="139">
        <v>524.91999999999996</v>
      </c>
    </row>
    <row r="56" spans="1:3" x14ac:dyDescent="0.25">
      <c r="A56" s="141" t="s">
        <v>545</v>
      </c>
      <c r="B56" s="140">
        <v>477.37148223421758</v>
      </c>
      <c r="C56" s="139">
        <v>484.14</v>
      </c>
    </row>
    <row r="57" spans="1:3" x14ac:dyDescent="0.25">
      <c r="A57" s="141" t="s">
        <v>544</v>
      </c>
      <c r="B57" s="140">
        <v>906.0979257810526</v>
      </c>
      <c r="C57" s="139">
        <v>926.03</v>
      </c>
    </row>
    <row r="58" spans="1:3" x14ac:dyDescent="0.25">
      <c r="A58" s="143" t="s">
        <v>543</v>
      </c>
      <c r="B58" s="46">
        <v>0</v>
      </c>
      <c r="C58" s="139"/>
    </row>
    <row r="59" spans="1:3" x14ac:dyDescent="0.25">
      <c r="A59" s="142" t="s">
        <v>132</v>
      </c>
      <c r="B59" s="46">
        <v>0</v>
      </c>
      <c r="C59" s="139"/>
    </row>
    <row r="60" spans="1:3" x14ac:dyDescent="0.25">
      <c r="A60" s="141" t="s">
        <v>542</v>
      </c>
      <c r="B60" s="140">
        <v>672.62921477019404</v>
      </c>
      <c r="C60" s="139">
        <v>686.12</v>
      </c>
    </row>
    <row r="61" spans="1:3" x14ac:dyDescent="0.25">
      <c r="A61" s="141" t="s">
        <v>541</v>
      </c>
      <c r="B61" s="140">
        <v>613.476</v>
      </c>
      <c r="C61" s="139">
        <v>623.49</v>
      </c>
    </row>
    <row r="62" spans="1:3" x14ac:dyDescent="0.25">
      <c r="A62" s="141" t="s">
        <v>540</v>
      </c>
      <c r="B62" s="140">
        <v>682.19374386057632</v>
      </c>
      <c r="C62" s="139">
        <v>702.77</v>
      </c>
    </row>
    <row r="63" spans="1:3" ht="30" x14ac:dyDescent="0.25">
      <c r="A63" s="141" t="s">
        <v>539</v>
      </c>
      <c r="B63" s="140">
        <v>615.37912591522456</v>
      </c>
      <c r="C63" s="139">
        <v>626.72</v>
      </c>
    </row>
    <row r="64" spans="1:3" x14ac:dyDescent="0.25">
      <c r="A64" s="141" t="s">
        <v>538</v>
      </c>
      <c r="B64" s="140">
        <v>617.18215595756669</v>
      </c>
      <c r="C64" s="139">
        <v>633.79</v>
      </c>
    </row>
    <row r="65" spans="1:3" x14ac:dyDescent="0.25">
      <c r="A65" s="143" t="s">
        <v>537</v>
      </c>
      <c r="B65" s="46">
        <v>0</v>
      </c>
      <c r="C65" s="139"/>
    </row>
    <row r="66" spans="1:3" x14ac:dyDescent="0.25">
      <c r="A66" s="142" t="s">
        <v>132</v>
      </c>
      <c r="B66" s="46">
        <v>0</v>
      </c>
      <c r="C66" s="139"/>
    </row>
    <row r="67" spans="1:3" x14ac:dyDescent="0.25">
      <c r="A67" s="141" t="s">
        <v>536</v>
      </c>
      <c r="B67" s="140">
        <v>613.65599999999995</v>
      </c>
      <c r="C67" s="139">
        <v>622.49</v>
      </c>
    </row>
    <row r="68" spans="1:3" x14ac:dyDescent="0.25">
      <c r="A68" s="141" t="s">
        <v>535</v>
      </c>
      <c r="B68" s="140">
        <v>642.48595277574441</v>
      </c>
      <c r="C68" s="144">
        <f>B68</f>
        <v>642.48595277574441</v>
      </c>
    </row>
    <row r="69" spans="1:3" x14ac:dyDescent="0.25">
      <c r="A69" s="141" t="s">
        <v>534</v>
      </c>
      <c r="B69" s="140">
        <v>685.50196022261071</v>
      </c>
      <c r="C69" s="139">
        <v>704.31</v>
      </c>
    </row>
    <row r="70" spans="1:3" x14ac:dyDescent="0.25">
      <c r="A70" s="141" t="s">
        <v>533</v>
      </c>
      <c r="B70" s="140">
        <v>762.69189359077996</v>
      </c>
      <c r="C70" s="139">
        <v>782.38</v>
      </c>
    </row>
    <row r="71" spans="1:3" x14ac:dyDescent="0.25">
      <c r="A71" s="141" t="s">
        <v>532</v>
      </c>
      <c r="B71" s="140">
        <v>614.86407244231623</v>
      </c>
      <c r="C71" s="145">
        <f>B71</f>
        <v>614.86407244231623</v>
      </c>
    </row>
    <row r="72" spans="1:3" x14ac:dyDescent="0.25">
      <c r="A72" s="141" t="s">
        <v>531</v>
      </c>
      <c r="B72" s="140">
        <v>617.25945646851449</v>
      </c>
      <c r="C72" s="144">
        <f>B72</f>
        <v>617.25945646851449</v>
      </c>
    </row>
    <row r="73" spans="1:3" x14ac:dyDescent="0.25">
      <c r="A73" s="143" t="s">
        <v>530</v>
      </c>
      <c r="B73" s="46">
        <v>0</v>
      </c>
      <c r="C73" s="139"/>
    </row>
    <row r="74" spans="1:3" x14ac:dyDescent="0.25">
      <c r="A74" s="142" t="s">
        <v>132</v>
      </c>
      <c r="B74" s="46">
        <v>0</v>
      </c>
      <c r="C74" s="139"/>
    </row>
    <row r="75" spans="1:3" x14ac:dyDescent="0.25">
      <c r="A75" s="141" t="s">
        <v>529</v>
      </c>
      <c r="B75" s="140">
        <v>632.88</v>
      </c>
      <c r="C75" s="144">
        <f>B75</f>
        <v>632.88</v>
      </c>
    </row>
    <row r="76" spans="1:3" x14ac:dyDescent="0.25">
      <c r="A76" s="141" t="s">
        <v>528</v>
      </c>
      <c r="B76" s="140">
        <v>761.81329029976666</v>
      </c>
      <c r="C76" s="139">
        <v>779.23</v>
      </c>
    </row>
    <row r="77" spans="1:3" x14ac:dyDescent="0.25">
      <c r="A77" s="141" t="s">
        <v>527</v>
      </c>
      <c r="B77" s="140">
        <v>709.25899750134658</v>
      </c>
      <c r="C77" s="144">
        <f>B77</f>
        <v>709.25899750134658</v>
      </c>
    </row>
    <row r="78" spans="1:3" x14ac:dyDescent="0.25">
      <c r="A78" s="143" t="s">
        <v>526</v>
      </c>
      <c r="B78" s="46">
        <v>0</v>
      </c>
      <c r="C78" s="139"/>
    </row>
    <row r="79" spans="1:3" x14ac:dyDescent="0.25">
      <c r="A79" s="142" t="s">
        <v>132</v>
      </c>
      <c r="B79" s="46">
        <v>0</v>
      </c>
      <c r="C79" s="139"/>
    </row>
    <row r="80" spans="1:3" x14ac:dyDescent="0.25">
      <c r="A80" s="141" t="s">
        <v>525</v>
      </c>
      <c r="B80" s="140">
        <v>689.46123947374372</v>
      </c>
      <c r="C80" s="139">
        <v>708.41</v>
      </c>
    </row>
    <row r="81" spans="1:3" ht="30" x14ac:dyDescent="0.25">
      <c r="A81" s="141" t="s">
        <v>524</v>
      </c>
      <c r="B81" s="140">
        <v>659.16622482945809</v>
      </c>
      <c r="C81" s="139">
        <v>677.09</v>
      </c>
    </row>
    <row r="82" spans="1:3" x14ac:dyDescent="0.25">
      <c r="A82" s="141" t="s">
        <v>523</v>
      </c>
      <c r="B82" s="140">
        <v>616.30799999999999</v>
      </c>
      <c r="C82" s="139">
        <v>627.36</v>
      </c>
    </row>
    <row r="83" spans="1:3" x14ac:dyDescent="0.25">
      <c r="A83" s="141" t="s">
        <v>522</v>
      </c>
      <c r="B83" s="140">
        <v>822.76173500209575</v>
      </c>
      <c r="C83" s="139">
        <v>835.09</v>
      </c>
    </row>
    <row r="84" spans="1:3" ht="30" x14ac:dyDescent="0.25">
      <c r="A84" s="141" t="s">
        <v>521</v>
      </c>
      <c r="B84" s="140">
        <v>671.94532668396039</v>
      </c>
      <c r="C84" s="139">
        <v>687.97</v>
      </c>
    </row>
    <row r="85" spans="1:3" ht="30" x14ac:dyDescent="0.25">
      <c r="A85" s="141" t="s">
        <v>520</v>
      </c>
      <c r="B85" s="140">
        <v>644.38253296875303</v>
      </c>
      <c r="C85" s="139">
        <v>655</v>
      </c>
    </row>
    <row r="86" spans="1:3" ht="30" x14ac:dyDescent="0.25">
      <c r="A86" s="141" t="s">
        <v>519</v>
      </c>
      <c r="B86" s="140">
        <v>675.04623940483737</v>
      </c>
      <c r="C86" s="139">
        <v>689.6</v>
      </c>
    </row>
    <row r="87" spans="1:3" x14ac:dyDescent="0.25">
      <c r="A87" s="141" t="s">
        <v>518</v>
      </c>
      <c r="B87" s="140">
        <v>645.93212391007796</v>
      </c>
      <c r="C87" s="139">
        <v>659.65</v>
      </c>
    </row>
    <row r="88" spans="1:3" x14ac:dyDescent="0.25">
      <c r="A88" s="141" t="s">
        <v>517</v>
      </c>
      <c r="B88" s="140">
        <v>693.10735213860414</v>
      </c>
      <c r="C88" s="139">
        <v>706.59</v>
      </c>
    </row>
    <row r="89" spans="1:3" x14ac:dyDescent="0.25">
      <c r="A89" s="141" t="s">
        <v>516</v>
      </c>
      <c r="B89" s="140">
        <v>567.54967991819069</v>
      </c>
      <c r="C89" s="145">
        <f>B89</f>
        <v>567.54967991819069</v>
      </c>
    </row>
    <row r="90" spans="1:3" x14ac:dyDescent="0.25">
      <c r="A90" s="141" t="s">
        <v>515</v>
      </c>
      <c r="B90" s="140">
        <v>717.34467362947169</v>
      </c>
      <c r="C90" s="139">
        <v>731.05</v>
      </c>
    </row>
    <row r="91" spans="1:3" x14ac:dyDescent="0.25">
      <c r="A91" s="143" t="s">
        <v>300</v>
      </c>
      <c r="B91" s="46">
        <v>0</v>
      </c>
      <c r="C91" s="139"/>
    </row>
    <row r="92" spans="1:3" x14ac:dyDescent="0.25">
      <c r="A92" s="142" t="s">
        <v>132</v>
      </c>
      <c r="B92" s="46">
        <v>0</v>
      </c>
      <c r="C92" s="139"/>
    </row>
    <row r="93" spans="1:3" x14ac:dyDescent="0.25">
      <c r="A93" s="141" t="s">
        <v>298</v>
      </c>
      <c r="B93" s="140">
        <v>637.32000000000005</v>
      </c>
      <c r="C93" s="139">
        <v>657.24</v>
      </c>
    </row>
    <row r="94" spans="1:3" x14ac:dyDescent="0.25">
      <c r="A94" s="141" t="s">
        <v>514</v>
      </c>
      <c r="B94" s="140">
        <v>616.38026999037288</v>
      </c>
      <c r="C94" s="139">
        <v>639.17999999999995</v>
      </c>
    </row>
    <row r="95" spans="1:3" x14ac:dyDescent="0.25">
      <c r="A95" s="141" t="s">
        <v>513</v>
      </c>
      <c r="B95" s="140">
        <v>522.91865460744157</v>
      </c>
      <c r="C95" s="139">
        <v>537.53</v>
      </c>
    </row>
    <row r="96" spans="1:3" x14ac:dyDescent="0.25">
      <c r="A96" s="143" t="s">
        <v>512</v>
      </c>
      <c r="B96" s="46">
        <v>0</v>
      </c>
      <c r="C96" s="139"/>
    </row>
    <row r="97" spans="1:3" x14ac:dyDescent="0.25">
      <c r="A97" s="142" t="s">
        <v>132</v>
      </c>
      <c r="B97" s="46">
        <v>0</v>
      </c>
      <c r="C97" s="139"/>
    </row>
    <row r="98" spans="1:3" ht="30" x14ac:dyDescent="0.25">
      <c r="A98" s="141" t="s">
        <v>511</v>
      </c>
      <c r="B98" s="140">
        <v>735.46877849897965</v>
      </c>
      <c r="C98" s="139">
        <v>757.93</v>
      </c>
    </row>
    <row r="99" spans="1:3" x14ac:dyDescent="0.25">
      <c r="A99" s="141" t="s">
        <v>510</v>
      </c>
      <c r="B99" s="140">
        <v>658.73410924209372</v>
      </c>
      <c r="C99" s="139">
        <v>673.73</v>
      </c>
    </row>
    <row r="100" spans="1:3" ht="18" customHeight="1" x14ac:dyDescent="0.25">
      <c r="A100" s="141" t="s">
        <v>509</v>
      </c>
      <c r="B100" s="140">
        <v>696.06054805929966</v>
      </c>
      <c r="C100" s="139">
        <v>711.61</v>
      </c>
    </row>
    <row r="101" spans="1:3" x14ac:dyDescent="0.25">
      <c r="A101" s="141" t="s">
        <v>508</v>
      </c>
      <c r="B101" s="140">
        <v>638.88145640264463</v>
      </c>
      <c r="C101" s="139">
        <v>647.27</v>
      </c>
    </row>
    <row r="102" spans="1:3" x14ac:dyDescent="0.25">
      <c r="A102" s="141" t="s">
        <v>507</v>
      </c>
      <c r="B102" s="140">
        <v>619.1553022557506</v>
      </c>
      <c r="C102" s="139">
        <v>628.79</v>
      </c>
    </row>
    <row r="103" spans="1:3" x14ac:dyDescent="0.25">
      <c r="A103" s="143" t="s">
        <v>506</v>
      </c>
      <c r="B103" s="46">
        <v>0</v>
      </c>
      <c r="C103" s="139"/>
    </row>
    <row r="104" spans="1:3" x14ac:dyDescent="0.25">
      <c r="A104" s="142" t="s">
        <v>132</v>
      </c>
      <c r="B104" s="46">
        <v>0</v>
      </c>
      <c r="C104" s="139"/>
    </row>
    <row r="105" spans="1:3" x14ac:dyDescent="0.25">
      <c r="A105" s="141" t="s">
        <v>505</v>
      </c>
      <c r="B105" s="140">
        <v>731.76547251503359</v>
      </c>
      <c r="C105" s="145">
        <f>B105</f>
        <v>731.76547251503359</v>
      </c>
    </row>
    <row r="106" spans="1:3" x14ac:dyDescent="0.25">
      <c r="A106" s="141" t="s">
        <v>504</v>
      </c>
      <c r="B106" s="140">
        <v>776.01599999999996</v>
      </c>
      <c r="C106" s="139">
        <v>794.71</v>
      </c>
    </row>
    <row r="107" spans="1:3" x14ac:dyDescent="0.25">
      <c r="A107" s="141" t="s">
        <v>503</v>
      </c>
      <c r="B107" s="140">
        <v>716.85147205070746</v>
      </c>
      <c r="C107" s="145">
        <f>B107</f>
        <v>716.85147205070746</v>
      </c>
    </row>
    <row r="108" spans="1:3" ht="30" x14ac:dyDescent="0.25">
      <c r="A108" s="141" t="s">
        <v>502</v>
      </c>
      <c r="B108" s="140">
        <v>740.08011431085004</v>
      </c>
      <c r="C108" s="145">
        <f>B108</f>
        <v>740.08011431085004</v>
      </c>
    </row>
    <row r="109" spans="1:3" x14ac:dyDescent="0.25">
      <c r="A109" s="141" t="s">
        <v>501</v>
      </c>
      <c r="B109" s="140">
        <v>657.8512672783952</v>
      </c>
      <c r="C109" s="139">
        <v>677.13</v>
      </c>
    </row>
    <row r="110" spans="1:3" x14ac:dyDescent="0.25">
      <c r="A110" s="141" t="s">
        <v>500</v>
      </c>
      <c r="B110" s="140">
        <v>701.66486540482106</v>
      </c>
      <c r="C110" s="145">
        <f>B110</f>
        <v>701.66486540482106</v>
      </c>
    </row>
    <row r="111" spans="1:3" ht="30" x14ac:dyDescent="0.25">
      <c r="A111" s="141" t="s">
        <v>499</v>
      </c>
      <c r="B111" s="140">
        <v>685.95212534402526</v>
      </c>
      <c r="C111" s="139">
        <v>702.06</v>
      </c>
    </row>
    <row r="112" spans="1:3" x14ac:dyDescent="0.25">
      <c r="A112" s="141" t="s">
        <v>498</v>
      </c>
      <c r="B112" s="140">
        <v>666.15707845535724</v>
      </c>
      <c r="C112" s="139">
        <v>686.95</v>
      </c>
    </row>
    <row r="113" spans="1:3" x14ac:dyDescent="0.25">
      <c r="A113" s="141" t="s">
        <v>497</v>
      </c>
      <c r="B113" s="140">
        <v>700.46421477264494</v>
      </c>
      <c r="C113" s="139">
        <v>720.16</v>
      </c>
    </row>
    <row r="114" spans="1:3" x14ac:dyDescent="0.25">
      <c r="A114" s="141" t="s">
        <v>496</v>
      </c>
      <c r="B114" s="140">
        <v>713.06282728872486</v>
      </c>
      <c r="C114" s="139"/>
    </row>
    <row r="115" spans="1:3" x14ac:dyDescent="0.25">
      <c r="A115" s="143" t="s">
        <v>495</v>
      </c>
      <c r="B115" s="46">
        <v>0</v>
      </c>
      <c r="C115" s="139"/>
    </row>
    <row r="116" spans="1:3" x14ac:dyDescent="0.25">
      <c r="A116" s="142" t="s">
        <v>132</v>
      </c>
      <c r="B116" s="46">
        <v>0</v>
      </c>
      <c r="C116" s="139"/>
    </row>
    <row r="117" spans="1:3" x14ac:dyDescent="0.25">
      <c r="A117" s="141" t="s">
        <v>494</v>
      </c>
      <c r="B117" s="140">
        <v>641.78329498989399</v>
      </c>
      <c r="C117" s="139">
        <v>654.85</v>
      </c>
    </row>
    <row r="118" spans="1:3" x14ac:dyDescent="0.25">
      <c r="A118" s="141" t="s">
        <v>493</v>
      </c>
      <c r="B118" s="140">
        <v>717.49608789069634</v>
      </c>
      <c r="C118" s="139">
        <v>727.51</v>
      </c>
    </row>
    <row r="119" spans="1:3" x14ac:dyDescent="0.25">
      <c r="A119" s="141" t="s">
        <v>492</v>
      </c>
      <c r="B119" s="140">
        <v>733.11122545131843</v>
      </c>
      <c r="C119" s="139">
        <v>751.08</v>
      </c>
    </row>
    <row r="120" spans="1:3" x14ac:dyDescent="0.25">
      <c r="A120" s="141" t="s">
        <v>491</v>
      </c>
      <c r="B120" s="140">
        <v>723.24876688694985</v>
      </c>
      <c r="C120" s="139">
        <v>738.31</v>
      </c>
    </row>
    <row r="121" spans="1:3" x14ac:dyDescent="0.25">
      <c r="A121" s="141" t="s">
        <v>490</v>
      </c>
      <c r="B121" s="140">
        <v>724.41825995476131</v>
      </c>
      <c r="C121" s="139">
        <v>746.12</v>
      </c>
    </row>
    <row r="122" spans="1:3" x14ac:dyDescent="0.25">
      <c r="A122" s="141" t="s">
        <v>489</v>
      </c>
      <c r="B122" s="140">
        <v>753.34004113733761</v>
      </c>
      <c r="C122" s="139">
        <v>764.35</v>
      </c>
    </row>
    <row r="123" spans="1:3" x14ac:dyDescent="0.25">
      <c r="A123" s="141" t="s">
        <v>488</v>
      </c>
      <c r="B123" s="140">
        <v>662.32800000000009</v>
      </c>
      <c r="C123" s="139">
        <v>680.21</v>
      </c>
    </row>
    <row r="124" spans="1:3" x14ac:dyDescent="0.25">
      <c r="A124" s="141" t="s">
        <v>487</v>
      </c>
      <c r="B124" s="140">
        <v>761.67443668760188</v>
      </c>
      <c r="C124" s="139">
        <v>780.15</v>
      </c>
    </row>
    <row r="125" spans="1:3" ht="18.75" customHeight="1" x14ac:dyDescent="0.25">
      <c r="A125" s="141" t="s">
        <v>486</v>
      </c>
      <c r="B125" s="140">
        <v>675.92078891197082</v>
      </c>
      <c r="C125" s="139">
        <v>693.08</v>
      </c>
    </row>
    <row r="126" spans="1:3" x14ac:dyDescent="0.25">
      <c r="A126" s="141" t="s">
        <v>485</v>
      </c>
      <c r="B126" s="140">
        <v>696.99257864469394</v>
      </c>
      <c r="C126" s="144">
        <f>B126</f>
        <v>696.99257864469394</v>
      </c>
    </row>
    <row r="127" spans="1:3" x14ac:dyDescent="0.25">
      <c r="A127" s="141" t="s">
        <v>484</v>
      </c>
      <c r="B127" s="140">
        <v>658.86884198036034</v>
      </c>
      <c r="C127" s="144">
        <f>B127</f>
        <v>658.86884198036034</v>
      </c>
    </row>
    <row r="128" spans="1:3" x14ac:dyDescent="0.25">
      <c r="A128" s="141" t="s">
        <v>483</v>
      </c>
      <c r="B128" s="140">
        <v>793.82539700106747</v>
      </c>
      <c r="C128" s="139">
        <v>824.68</v>
      </c>
    </row>
    <row r="129" spans="1:3" x14ac:dyDescent="0.25">
      <c r="A129" s="141" t="s">
        <v>482</v>
      </c>
      <c r="B129" s="140">
        <v>604.30169363928132</v>
      </c>
      <c r="C129" s="139">
        <v>619.32000000000005</v>
      </c>
    </row>
    <row r="130" spans="1:3" x14ac:dyDescent="0.25">
      <c r="A130" s="141" t="s">
        <v>481</v>
      </c>
      <c r="B130" s="140">
        <v>611.10737067822299</v>
      </c>
      <c r="C130" s="139">
        <v>624.59</v>
      </c>
    </row>
    <row r="131" spans="1:3" x14ac:dyDescent="0.25">
      <c r="A131" s="143" t="s">
        <v>480</v>
      </c>
      <c r="B131" s="46">
        <v>0</v>
      </c>
      <c r="C131" s="139"/>
    </row>
    <row r="132" spans="1:3" x14ac:dyDescent="0.25">
      <c r="A132" s="142" t="s">
        <v>132</v>
      </c>
      <c r="B132" s="46">
        <v>0</v>
      </c>
      <c r="C132" s="139"/>
    </row>
    <row r="133" spans="1:3" ht="30" x14ac:dyDescent="0.25">
      <c r="A133" s="141" t="s">
        <v>479</v>
      </c>
      <c r="B133" s="140">
        <v>171.96394555185927</v>
      </c>
      <c r="C133" s="139">
        <v>202.63</v>
      </c>
    </row>
    <row r="134" spans="1:3" x14ac:dyDescent="0.25">
      <c r="A134" s="141" t="s">
        <v>478</v>
      </c>
      <c r="B134" s="140">
        <v>633.93836593192248</v>
      </c>
      <c r="C134" s="139">
        <v>645.80999999999995</v>
      </c>
    </row>
    <row r="135" spans="1:3" x14ac:dyDescent="0.25">
      <c r="A135" s="141" t="s">
        <v>477</v>
      </c>
      <c r="B135" s="140">
        <v>626.71199999999999</v>
      </c>
      <c r="C135" s="139">
        <v>645.32000000000005</v>
      </c>
    </row>
    <row r="136" spans="1:3" x14ac:dyDescent="0.25">
      <c r="A136" s="141" t="s">
        <v>476</v>
      </c>
      <c r="B136" s="140">
        <v>597.68654154449757</v>
      </c>
      <c r="C136" s="139">
        <v>616.73</v>
      </c>
    </row>
    <row r="137" spans="1:3" x14ac:dyDescent="0.25">
      <c r="A137" s="143" t="s">
        <v>475</v>
      </c>
      <c r="B137" s="46">
        <v>0</v>
      </c>
      <c r="C137" s="139"/>
    </row>
    <row r="138" spans="1:3" x14ac:dyDescent="0.25">
      <c r="A138" s="142" t="s">
        <v>132</v>
      </c>
      <c r="B138" s="46">
        <v>0</v>
      </c>
      <c r="C138" s="139"/>
    </row>
    <row r="139" spans="1:3" x14ac:dyDescent="0.25">
      <c r="A139" s="141" t="s">
        <v>474</v>
      </c>
      <c r="B139" s="140">
        <v>704.689173988687</v>
      </c>
      <c r="C139" s="139">
        <v>723.5</v>
      </c>
    </row>
    <row r="140" spans="1:3" x14ac:dyDescent="0.25">
      <c r="A140" s="141" t="s">
        <v>473</v>
      </c>
      <c r="B140" s="140">
        <v>732.14116103791503</v>
      </c>
      <c r="C140" s="139">
        <v>750.62</v>
      </c>
    </row>
    <row r="141" spans="1:3" x14ac:dyDescent="0.25">
      <c r="A141" s="141" t="s">
        <v>472</v>
      </c>
      <c r="B141" s="140">
        <v>750.98324894274685</v>
      </c>
      <c r="C141" s="144">
        <f>B141</f>
        <v>750.98324894274685</v>
      </c>
    </row>
    <row r="142" spans="1:3" x14ac:dyDescent="0.25">
      <c r="A142" s="141" t="s">
        <v>471</v>
      </c>
      <c r="B142" s="140">
        <v>563.68799999999999</v>
      </c>
      <c r="C142" s="139">
        <v>576.54999999999995</v>
      </c>
    </row>
    <row r="143" spans="1:3" x14ac:dyDescent="0.25">
      <c r="A143" s="141" t="s">
        <v>470</v>
      </c>
      <c r="B143" s="140">
        <v>652.55034413927478</v>
      </c>
      <c r="C143" s="139">
        <v>670</v>
      </c>
    </row>
    <row r="144" spans="1:3" x14ac:dyDescent="0.25">
      <c r="A144" s="141" t="s">
        <v>469</v>
      </c>
      <c r="B144" s="140">
        <v>635.0950311811838</v>
      </c>
      <c r="C144" s="139">
        <v>643.70000000000005</v>
      </c>
    </row>
    <row r="145" spans="1:3" x14ac:dyDescent="0.25">
      <c r="A145" s="141" t="s">
        <v>468</v>
      </c>
      <c r="B145" s="140">
        <v>734.64654544032362</v>
      </c>
      <c r="C145" s="139">
        <v>741.11</v>
      </c>
    </row>
    <row r="146" spans="1:3" x14ac:dyDescent="0.25">
      <c r="A146" s="143" t="s">
        <v>467</v>
      </c>
      <c r="B146" s="46">
        <v>0</v>
      </c>
      <c r="C146" s="139"/>
    </row>
    <row r="147" spans="1:3" x14ac:dyDescent="0.25">
      <c r="A147" s="142" t="s">
        <v>132</v>
      </c>
      <c r="B147" s="46">
        <v>0</v>
      </c>
      <c r="C147" s="139"/>
    </row>
    <row r="148" spans="1:3" x14ac:dyDescent="0.25">
      <c r="A148" s="141" t="s">
        <v>466</v>
      </c>
      <c r="B148" s="140">
        <v>662.03478682127195</v>
      </c>
      <c r="C148" s="139">
        <v>669.31</v>
      </c>
    </row>
    <row r="149" spans="1:3" x14ac:dyDescent="0.25">
      <c r="A149" s="141" t="s">
        <v>465</v>
      </c>
      <c r="B149" s="140">
        <v>668.03983225468414</v>
      </c>
      <c r="C149" s="139">
        <v>677.13</v>
      </c>
    </row>
    <row r="150" spans="1:3" x14ac:dyDescent="0.25">
      <c r="A150" s="141" t="s">
        <v>464</v>
      </c>
      <c r="B150" s="140">
        <v>649.19787162635976</v>
      </c>
      <c r="C150" s="139">
        <v>657.9</v>
      </c>
    </row>
    <row r="151" spans="1:3" x14ac:dyDescent="0.25">
      <c r="A151" s="141" t="s">
        <v>463</v>
      </c>
      <c r="B151" s="140">
        <v>740.85504408726069</v>
      </c>
      <c r="C151" s="139">
        <v>751.21</v>
      </c>
    </row>
    <row r="152" spans="1:3" x14ac:dyDescent="0.25">
      <c r="A152" s="141" t="s">
        <v>462</v>
      </c>
      <c r="B152" s="140">
        <v>768.28349380574366</v>
      </c>
      <c r="C152" s="139">
        <v>781.8</v>
      </c>
    </row>
    <row r="153" spans="1:3" x14ac:dyDescent="0.25">
      <c r="A153" s="141" t="s">
        <v>461</v>
      </c>
      <c r="B153" s="140">
        <v>558.31047527358032</v>
      </c>
      <c r="C153" s="139">
        <v>570.92999999999995</v>
      </c>
    </row>
    <row r="154" spans="1:3" x14ac:dyDescent="0.25">
      <c r="A154" s="141" t="s">
        <v>460</v>
      </c>
      <c r="B154" s="140">
        <v>650.02430184258196</v>
      </c>
      <c r="C154" s="139">
        <v>663.32</v>
      </c>
    </row>
    <row r="155" spans="1:3" x14ac:dyDescent="0.25">
      <c r="A155" s="143" t="s">
        <v>459</v>
      </c>
      <c r="B155" s="46">
        <v>0</v>
      </c>
      <c r="C155" s="139"/>
    </row>
    <row r="156" spans="1:3" x14ac:dyDescent="0.25">
      <c r="A156" s="142" t="s">
        <v>132</v>
      </c>
      <c r="B156" s="46">
        <v>0</v>
      </c>
      <c r="C156" s="139"/>
    </row>
    <row r="157" spans="1:3" x14ac:dyDescent="0.25">
      <c r="A157" s="141" t="s">
        <v>458</v>
      </c>
      <c r="B157" s="140">
        <v>705.08678009613595</v>
      </c>
      <c r="C157" s="139">
        <v>719.39</v>
      </c>
    </row>
    <row r="158" spans="1:3" ht="18" customHeight="1" x14ac:dyDescent="0.25">
      <c r="A158" s="141" t="s">
        <v>457</v>
      </c>
      <c r="B158" s="140">
        <v>762.86236147110856</v>
      </c>
      <c r="C158" s="139">
        <v>777.21</v>
      </c>
    </row>
    <row r="159" spans="1:3" x14ac:dyDescent="0.25">
      <c r="A159" s="141" t="s">
        <v>456</v>
      </c>
      <c r="B159" s="140">
        <v>703.34135914528758</v>
      </c>
      <c r="C159" s="139">
        <v>716.2</v>
      </c>
    </row>
    <row r="160" spans="1:3" x14ac:dyDescent="0.25">
      <c r="A160" s="141" t="s">
        <v>455</v>
      </c>
      <c r="B160" s="140">
        <v>98.760394610823752</v>
      </c>
      <c r="C160" s="139">
        <v>124.43</v>
      </c>
    </row>
    <row r="161" spans="1:3" x14ac:dyDescent="0.25">
      <c r="A161" s="141" t="s">
        <v>454</v>
      </c>
      <c r="B161" s="140">
        <v>750.68057870430721</v>
      </c>
      <c r="C161" s="139">
        <v>763.93</v>
      </c>
    </row>
    <row r="162" spans="1:3" x14ac:dyDescent="0.25">
      <c r="A162" s="143" t="s">
        <v>453</v>
      </c>
      <c r="B162" s="46">
        <v>0</v>
      </c>
      <c r="C162" s="139"/>
    </row>
    <row r="163" spans="1:3" x14ac:dyDescent="0.25">
      <c r="A163" s="142" t="s">
        <v>132</v>
      </c>
      <c r="B163" s="46">
        <v>0</v>
      </c>
      <c r="C163" s="139"/>
    </row>
    <row r="164" spans="1:3" x14ac:dyDescent="0.25">
      <c r="A164" s="141" t="s">
        <v>452</v>
      </c>
      <c r="B164" s="140">
        <v>649.18451808249563</v>
      </c>
      <c r="C164" s="139">
        <v>662.7</v>
      </c>
    </row>
    <row r="165" spans="1:3" x14ac:dyDescent="0.25">
      <c r="A165" s="141" t="s">
        <v>451</v>
      </c>
      <c r="B165" s="140">
        <v>655.94214268425856</v>
      </c>
      <c r="C165" s="139">
        <v>667.51</v>
      </c>
    </row>
    <row r="166" spans="1:3" x14ac:dyDescent="0.25">
      <c r="A166" s="141" t="s">
        <v>450</v>
      </c>
      <c r="B166" s="140">
        <v>594.9236122303372</v>
      </c>
      <c r="C166" s="139">
        <v>603.9</v>
      </c>
    </row>
    <row r="167" spans="1:3" x14ac:dyDescent="0.25">
      <c r="A167" s="141" t="s">
        <v>449</v>
      </c>
      <c r="B167" s="140">
        <v>659.39098575827234</v>
      </c>
      <c r="C167" s="139">
        <v>672.49</v>
      </c>
    </row>
    <row r="168" spans="1:3" x14ac:dyDescent="0.25">
      <c r="A168" s="141" t="s">
        <v>448</v>
      </c>
      <c r="B168" s="140">
        <v>605.03935448329651</v>
      </c>
      <c r="C168" s="139">
        <v>617.98</v>
      </c>
    </row>
    <row r="169" spans="1:3" x14ac:dyDescent="0.25">
      <c r="A169" s="141" t="s">
        <v>447</v>
      </c>
      <c r="B169" s="140">
        <v>695.63045935118771</v>
      </c>
      <c r="C169" s="139">
        <v>705.65</v>
      </c>
    </row>
    <row r="170" spans="1:3" x14ac:dyDescent="0.25">
      <c r="A170" s="141" t="s">
        <v>446</v>
      </c>
      <c r="B170" s="140">
        <v>622.82581181763976</v>
      </c>
      <c r="C170" s="139">
        <v>635.20000000000005</v>
      </c>
    </row>
    <row r="171" spans="1:3" x14ac:dyDescent="0.25">
      <c r="A171" s="141" t="s">
        <v>445</v>
      </c>
      <c r="B171" s="140">
        <v>697.09859679379667</v>
      </c>
      <c r="C171" s="139">
        <v>717.86</v>
      </c>
    </row>
    <row r="172" spans="1:3" x14ac:dyDescent="0.25">
      <c r="A172" s="141" t="s">
        <v>444</v>
      </c>
      <c r="B172" s="140">
        <v>758.35199999999998</v>
      </c>
      <c r="C172" s="139">
        <v>772.8</v>
      </c>
    </row>
    <row r="173" spans="1:3" x14ac:dyDescent="0.25">
      <c r="A173" s="141" t="s">
        <v>443</v>
      </c>
      <c r="B173" s="140">
        <v>674.52970778642305</v>
      </c>
      <c r="C173" s="139">
        <v>690.11</v>
      </c>
    </row>
    <row r="174" spans="1:3" x14ac:dyDescent="0.25">
      <c r="A174" s="141" t="s">
        <v>442</v>
      </c>
      <c r="B174" s="140">
        <v>660.15665247041181</v>
      </c>
      <c r="C174" s="139">
        <v>671.47</v>
      </c>
    </row>
    <row r="175" spans="1:3" x14ac:dyDescent="0.25">
      <c r="A175" s="143" t="s">
        <v>441</v>
      </c>
      <c r="B175" s="46">
        <v>0</v>
      </c>
      <c r="C175" s="139"/>
    </row>
    <row r="176" spans="1:3" x14ac:dyDescent="0.25">
      <c r="A176" s="142" t="s">
        <v>132</v>
      </c>
      <c r="B176" s="46">
        <v>0</v>
      </c>
      <c r="C176" s="139"/>
    </row>
    <row r="177" spans="1:3" x14ac:dyDescent="0.25">
      <c r="A177" s="141" t="s">
        <v>440</v>
      </c>
      <c r="B177" s="140">
        <v>598.15199999999993</v>
      </c>
      <c r="C177" s="139">
        <v>608.89</v>
      </c>
    </row>
    <row r="178" spans="1:3" ht="30" x14ac:dyDescent="0.25">
      <c r="A178" s="141" t="s">
        <v>439</v>
      </c>
      <c r="B178" s="140">
        <v>713.02213599709182</v>
      </c>
      <c r="C178" s="139">
        <v>754.88</v>
      </c>
    </row>
    <row r="179" spans="1:3" x14ac:dyDescent="0.25">
      <c r="A179" s="143" t="s">
        <v>438</v>
      </c>
      <c r="B179" s="46">
        <v>0</v>
      </c>
      <c r="C179" s="139"/>
    </row>
    <row r="180" spans="1:3" x14ac:dyDescent="0.25">
      <c r="A180" s="142" t="s">
        <v>132</v>
      </c>
      <c r="B180" s="46">
        <v>0</v>
      </c>
      <c r="C180" s="139"/>
    </row>
    <row r="181" spans="1:3" x14ac:dyDescent="0.25">
      <c r="A181" s="141" t="s">
        <v>437</v>
      </c>
      <c r="B181" s="140">
        <v>815.28121173428201</v>
      </c>
      <c r="C181" s="139">
        <v>831.77</v>
      </c>
    </row>
    <row r="182" spans="1:3" x14ac:dyDescent="0.25">
      <c r="A182" s="141" t="s">
        <v>436</v>
      </c>
      <c r="B182" s="140">
        <v>692.80767586495574</v>
      </c>
      <c r="C182" s="139">
        <v>707.23</v>
      </c>
    </row>
    <row r="183" spans="1:3" x14ac:dyDescent="0.25">
      <c r="A183" s="141" t="s">
        <v>435</v>
      </c>
      <c r="B183" s="140">
        <v>697.93578383213969</v>
      </c>
      <c r="C183" s="139">
        <v>712.68</v>
      </c>
    </row>
    <row r="184" spans="1:3" x14ac:dyDescent="0.25">
      <c r="A184" s="141" t="s">
        <v>434</v>
      </c>
      <c r="B184" s="140">
        <v>843.62327178594114</v>
      </c>
      <c r="C184" s="139">
        <v>853.5</v>
      </c>
    </row>
    <row r="185" spans="1:3" ht="30" x14ac:dyDescent="0.25">
      <c r="A185" s="141" t="s">
        <v>433</v>
      </c>
      <c r="B185" s="140">
        <v>778.92529148993538</v>
      </c>
      <c r="C185" s="139">
        <v>786.08</v>
      </c>
    </row>
    <row r="186" spans="1:3" x14ac:dyDescent="0.25">
      <c r="A186" s="141" t="s">
        <v>432</v>
      </c>
      <c r="B186" s="140">
        <v>624.51599999999996</v>
      </c>
      <c r="C186" s="139">
        <v>642.09</v>
      </c>
    </row>
    <row r="187" spans="1:3" x14ac:dyDescent="0.25">
      <c r="A187" s="141" t="s">
        <v>431</v>
      </c>
      <c r="B187" s="140">
        <v>686.69761167705462</v>
      </c>
      <c r="C187" s="139">
        <v>705.13</v>
      </c>
    </row>
    <row r="188" spans="1:3" x14ac:dyDescent="0.25">
      <c r="A188" s="141" t="s">
        <v>430</v>
      </c>
      <c r="B188" s="140">
        <v>719.32918788238862</v>
      </c>
      <c r="C188" s="139">
        <v>733.09</v>
      </c>
    </row>
    <row r="189" spans="1:3" ht="30" x14ac:dyDescent="0.25">
      <c r="A189" s="141" t="s">
        <v>429</v>
      </c>
      <c r="B189" s="140">
        <v>883.58078973061811</v>
      </c>
      <c r="C189" s="139">
        <v>905.28</v>
      </c>
    </row>
    <row r="190" spans="1:3" x14ac:dyDescent="0.25">
      <c r="A190" s="141" t="s">
        <v>428</v>
      </c>
      <c r="B190" s="140">
        <v>783.23699041264854</v>
      </c>
      <c r="C190" s="139">
        <v>803.99</v>
      </c>
    </row>
    <row r="191" spans="1:3" x14ac:dyDescent="0.25">
      <c r="A191" s="141" t="s">
        <v>427</v>
      </c>
      <c r="B191" s="140">
        <v>601.07700309949632</v>
      </c>
      <c r="C191" s="139">
        <v>613.29999999999995</v>
      </c>
    </row>
    <row r="192" spans="1:3" ht="30" x14ac:dyDescent="0.25">
      <c r="A192" s="141" t="s">
        <v>426</v>
      </c>
      <c r="B192" s="140">
        <v>550.50214957856213</v>
      </c>
      <c r="C192" s="139">
        <v>571.19000000000005</v>
      </c>
    </row>
    <row r="193" spans="1:3" x14ac:dyDescent="0.25">
      <c r="A193" s="141" t="s">
        <v>425</v>
      </c>
      <c r="B193" s="140">
        <v>790.64755419129449</v>
      </c>
      <c r="C193" s="139">
        <v>818.98</v>
      </c>
    </row>
    <row r="194" spans="1:3" ht="30" x14ac:dyDescent="0.25">
      <c r="A194" s="141" t="s">
        <v>424</v>
      </c>
      <c r="B194" s="140">
        <v>760.12910151588858</v>
      </c>
      <c r="C194" s="139">
        <v>771.26</v>
      </c>
    </row>
    <row r="195" spans="1:3" x14ac:dyDescent="0.25">
      <c r="A195" s="143" t="s">
        <v>423</v>
      </c>
      <c r="B195" s="46">
        <v>0</v>
      </c>
      <c r="C195" s="139"/>
    </row>
    <row r="196" spans="1:3" x14ac:dyDescent="0.25">
      <c r="A196" s="142" t="s">
        <v>132</v>
      </c>
      <c r="B196" s="46">
        <v>0</v>
      </c>
      <c r="C196" s="139"/>
    </row>
    <row r="197" spans="1:3" x14ac:dyDescent="0.25">
      <c r="A197" s="141" t="s">
        <v>422</v>
      </c>
      <c r="B197" s="140">
        <v>739.88360314949512</v>
      </c>
      <c r="C197" s="139">
        <v>752.35</v>
      </c>
    </row>
    <row r="198" spans="1:3" x14ac:dyDescent="0.25">
      <c r="A198" s="141" t="s">
        <v>421</v>
      </c>
      <c r="B198" s="140">
        <v>700.53874779854482</v>
      </c>
      <c r="C198" s="139">
        <v>720.11</v>
      </c>
    </row>
    <row r="199" spans="1:3" x14ac:dyDescent="0.25">
      <c r="A199" s="141" t="s">
        <v>420</v>
      </c>
      <c r="B199" s="140">
        <v>888.21599999999989</v>
      </c>
      <c r="C199" s="139">
        <v>907.62</v>
      </c>
    </row>
    <row r="200" spans="1:3" x14ac:dyDescent="0.25">
      <c r="A200" s="141" t="s">
        <v>419</v>
      </c>
      <c r="B200" s="140">
        <v>690.23942706883224</v>
      </c>
      <c r="C200" s="139">
        <v>714.32</v>
      </c>
    </row>
    <row r="201" spans="1:3" x14ac:dyDescent="0.25">
      <c r="A201" s="143" t="s">
        <v>418</v>
      </c>
      <c r="B201" s="46">
        <v>0</v>
      </c>
      <c r="C201" s="139"/>
    </row>
    <row r="202" spans="1:3" x14ac:dyDescent="0.25">
      <c r="A202" s="142" t="s">
        <v>132</v>
      </c>
      <c r="B202" s="46">
        <v>0</v>
      </c>
      <c r="C202" s="139"/>
    </row>
    <row r="203" spans="1:3" ht="30" x14ac:dyDescent="0.25">
      <c r="A203" s="141" t="s">
        <v>417</v>
      </c>
      <c r="B203" s="140">
        <v>703.25000020463062</v>
      </c>
      <c r="C203" s="139">
        <v>723.21</v>
      </c>
    </row>
    <row r="204" spans="1:3" ht="18" customHeight="1" x14ac:dyDescent="0.25">
      <c r="A204" s="141" t="s">
        <v>416</v>
      </c>
      <c r="B204" s="140">
        <v>633.32767067323482</v>
      </c>
      <c r="C204" s="139">
        <v>645.65</v>
      </c>
    </row>
    <row r="205" spans="1:3" x14ac:dyDescent="0.25">
      <c r="A205" s="141" t="s">
        <v>415</v>
      </c>
      <c r="B205" s="140">
        <v>538.60799999999995</v>
      </c>
      <c r="C205" s="139">
        <v>552.04999999999995</v>
      </c>
    </row>
    <row r="206" spans="1:3" x14ac:dyDescent="0.25">
      <c r="A206" s="141" t="s">
        <v>414</v>
      </c>
      <c r="B206" s="140">
        <v>683.39206518912818</v>
      </c>
      <c r="C206" s="139">
        <v>696.86</v>
      </c>
    </row>
    <row r="207" spans="1:3" ht="30" x14ac:dyDescent="0.25">
      <c r="A207" s="141" t="s">
        <v>413</v>
      </c>
      <c r="B207" s="140">
        <v>705.95273704848967</v>
      </c>
      <c r="C207" s="139">
        <v>718.48</v>
      </c>
    </row>
    <row r="208" spans="1:3" x14ac:dyDescent="0.25">
      <c r="A208" s="141" t="s">
        <v>412</v>
      </c>
      <c r="B208" s="140">
        <v>586.39321739882746</v>
      </c>
      <c r="C208" s="139">
        <v>600.16999999999996</v>
      </c>
    </row>
    <row r="209" spans="1:3" x14ac:dyDescent="0.25">
      <c r="A209" s="141" t="s">
        <v>411</v>
      </c>
      <c r="B209" s="140">
        <v>735.32855591452278</v>
      </c>
      <c r="C209" s="139">
        <v>747.7</v>
      </c>
    </row>
    <row r="210" spans="1:3" ht="30" x14ac:dyDescent="0.25">
      <c r="A210" s="141" t="s">
        <v>410</v>
      </c>
      <c r="B210" s="140"/>
      <c r="C210" s="139">
        <v>107.79</v>
      </c>
    </row>
    <row r="211" spans="1:3" x14ac:dyDescent="0.25">
      <c r="A211" s="143" t="s">
        <v>409</v>
      </c>
      <c r="B211" s="46">
        <v>0</v>
      </c>
      <c r="C211" s="139"/>
    </row>
    <row r="212" spans="1:3" x14ac:dyDescent="0.25">
      <c r="A212" s="142" t="s">
        <v>132</v>
      </c>
      <c r="B212" s="46">
        <v>0</v>
      </c>
      <c r="C212" s="139"/>
    </row>
    <row r="213" spans="1:3" ht="16.5" customHeight="1" x14ac:dyDescent="0.25">
      <c r="A213" s="141" t="s">
        <v>408</v>
      </c>
      <c r="B213" s="140">
        <v>703.26160496239959</v>
      </c>
      <c r="C213" s="139">
        <v>722.01</v>
      </c>
    </row>
    <row r="214" spans="1:3" ht="45" x14ac:dyDescent="0.25">
      <c r="A214" s="141" t="s">
        <v>407</v>
      </c>
      <c r="B214" s="140">
        <v>738.07345093758181</v>
      </c>
      <c r="C214" s="139">
        <v>748.82</v>
      </c>
    </row>
    <row r="215" spans="1:3" x14ac:dyDescent="0.25">
      <c r="A215" s="141" t="s">
        <v>406</v>
      </c>
      <c r="B215" s="140">
        <v>702.64535816602177</v>
      </c>
      <c r="C215" s="139">
        <v>716.71</v>
      </c>
    </row>
    <row r="216" spans="1:3" ht="30" x14ac:dyDescent="0.25">
      <c r="A216" s="141" t="s">
        <v>405</v>
      </c>
      <c r="B216" s="140">
        <v>721.67895010791528</v>
      </c>
      <c r="C216" s="139">
        <v>733.97</v>
      </c>
    </row>
    <row r="217" spans="1:3" x14ac:dyDescent="0.25">
      <c r="A217" s="141" t="s">
        <v>404</v>
      </c>
      <c r="B217" s="140">
        <v>606.28658342386984</v>
      </c>
      <c r="C217" s="139">
        <v>614.55999999999995</v>
      </c>
    </row>
    <row r="218" spans="1:3" x14ac:dyDescent="0.25">
      <c r="A218" s="141" t="s">
        <v>403</v>
      </c>
      <c r="B218" s="140">
        <v>878.13680137815891</v>
      </c>
      <c r="C218" s="139">
        <v>896.87</v>
      </c>
    </row>
    <row r="219" spans="1:3" x14ac:dyDescent="0.25">
      <c r="A219" s="141" t="s">
        <v>402</v>
      </c>
      <c r="B219" s="140">
        <v>638.00223611026422</v>
      </c>
      <c r="C219" s="139">
        <v>658.95</v>
      </c>
    </row>
    <row r="220" spans="1:3" x14ac:dyDescent="0.25">
      <c r="A220" s="141" t="s">
        <v>401</v>
      </c>
      <c r="B220" s="140">
        <v>696.54803750543556</v>
      </c>
      <c r="C220" s="139">
        <v>709.55</v>
      </c>
    </row>
    <row r="221" spans="1:3" x14ac:dyDescent="0.25">
      <c r="A221" s="143" t="s">
        <v>400</v>
      </c>
      <c r="B221" s="46">
        <v>0</v>
      </c>
      <c r="C221" s="139"/>
    </row>
    <row r="222" spans="1:3" x14ac:dyDescent="0.25">
      <c r="A222" s="142" t="s">
        <v>132</v>
      </c>
      <c r="B222" s="46">
        <v>0</v>
      </c>
      <c r="C222" s="139"/>
    </row>
    <row r="223" spans="1:3" x14ac:dyDescent="0.25">
      <c r="A223" s="141" t="s">
        <v>399</v>
      </c>
      <c r="B223" s="140">
        <v>580.8616146058755</v>
      </c>
      <c r="C223" s="139">
        <v>592.58000000000004</v>
      </c>
    </row>
    <row r="224" spans="1:3" x14ac:dyDescent="0.25">
      <c r="A224" s="143" t="s">
        <v>398</v>
      </c>
      <c r="B224" s="46">
        <v>0</v>
      </c>
      <c r="C224" s="139"/>
    </row>
    <row r="225" spans="1:3" x14ac:dyDescent="0.25">
      <c r="A225" s="142" t="s">
        <v>132</v>
      </c>
      <c r="B225" s="46">
        <v>0</v>
      </c>
      <c r="C225" s="139"/>
    </row>
    <row r="226" spans="1:3" ht="30" x14ac:dyDescent="0.25">
      <c r="A226" s="141" t="s">
        <v>397</v>
      </c>
      <c r="B226" s="140">
        <v>592.37290711492801</v>
      </c>
      <c r="C226" s="139">
        <v>600.67999999999995</v>
      </c>
    </row>
    <row r="227" spans="1:3" x14ac:dyDescent="0.25">
      <c r="A227" s="141" t="s">
        <v>396</v>
      </c>
      <c r="B227" s="140">
        <v>632.11717763232116</v>
      </c>
      <c r="C227" s="139">
        <v>738.02</v>
      </c>
    </row>
    <row r="228" spans="1:3" x14ac:dyDescent="0.25">
      <c r="A228" s="141" t="s">
        <v>395</v>
      </c>
      <c r="B228" s="140">
        <v>695.27257159461578</v>
      </c>
      <c r="C228" s="139">
        <v>708.56</v>
      </c>
    </row>
    <row r="229" spans="1:3" ht="15.75" thickBot="1" x14ac:dyDescent="0.3">
      <c r="A229" s="138" t="s">
        <v>394</v>
      </c>
      <c r="B229" s="137">
        <v>649.42285158884738</v>
      </c>
      <c r="C229" s="136">
        <v>664.81</v>
      </c>
    </row>
    <row r="231" spans="1:3" x14ac:dyDescent="0.25">
      <c r="A231" s="135" t="s">
        <v>393</v>
      </c>
      <c r="B231" s="134"/>
      <c r="C231" s="133">
        <v>282.83999999999997</v>
      </c>
    </row>
    <row r="233" spans="1:3" x14ac:dyDescent="0.25">
      <c r="A233" s="433" t="s">
        <v>301</v>
      </c>
      <c r="B233" s="434"/>
    </row>
    <row r="234" spans="1:3" x14ac:dyDescent="0.25">
      <c r="A234" s="438" t="s">
        <v>438</v>
      </c>
      <c r="B234" s="439"/>
    </row>
    <row r="235" spans="1:3" x14ac:dyDescent="0.25">
      <c r="A235" s="440" t="s">
        <v>299</v>
      </c>
      <c r="B235" s="441"/>
    </row>
    <row r="236" spans="1:3" x14ac:dyDescent="0.25">
      <c r="A236" s="438" t="s">
        <v>432</v>
      </c>
      <c r="B236" s="442"/>
    </row>
    <row r="237" spans="1:3" x14ac:dyDescent="0.25">
      <c r="A237" s="433" t="s">
        <v>297</v>
      </c>
      <c r="B237" s="434"/>
    </row>
    <row r="238" spans="1:3" x14ac:dyDescent="0.25">
      <c r="A238" s="89">
        <f>VLOOKUP(A236,'Тарифи ЦО'!A3:C229,3,0)</f>
        <v>642.09</v>
      </c>
      <c r="B238" s="88" t="s">
        <v>296</v>
      </c>
    </row>
  </sheetData>
  <mergeCells count="6">
    <mergeCell ref="A237:B237"/>
    <mergeCell ref="A1:C1"/>
    <mergeCell ref="A233:B233"/>
    <mergeCell ref="A234:B234"/>
    <mergeCell ref="A235:B235"/>
    <mergeCell ref="A236:B236"/>
  </mergeCells>
  <conditionalFormatting sqref="A231 B133:B136 B139:B145 B148:B154 B157:B161 B164:B174 B177:B178 B181:B194 B197:B200 B203:B210 B213:B220 B223 B226:B229 A3:A229 B5:B9 B12:B16 B19:B37 B40:B57 B60:B64 B67:B72 B75:B77 B80:B90 B98:B102 B105:B114 B117:B130 B93:B95">
    <cfRule type="cellIs" dxfId="302" priority="303" operator="equal">
      <formula>0</formula>
    </cfRule>
  </conditionalFormatting>
  <conditionalFormatting sqref="A3:A4">
    <cfRule type="expression" dxfId="301" priority="302">
      <formula>AND(XFB3=869)</formula>
    </cfRule>
  </conditionalFormatting>
  <conditionalFormatting sqref="A5:A11">
    <cfRule type="expression" dxfId="300" priority="301">
      <formula>AND(XFB4=869)</formula>
    </cfRule>
  </conditionalFormatting>
  <conditionalFormatting sqref="A3">
    <cfRule type="expression" dxfId="299" priority="300">
      <formula>AND(XFB3=869)</formula>
    </cfRule>
  </conditionalFormatting>
  <conditionalFormatting sqref="A3">
    <cfRule type="expression" dxfId="298" priority="299">
      <formula>AND(XFB3=869)</formula>
    </cfRule>
  </conditionalFormatting>
  <conditionalFormatting sqref="A12:A18">
    <cfRule type="expression" dxfId="297" priority="298">
      <formula>AND(XFB10=869)</formula>
    </cfRule>
  </conditionalFormatting>
  <conditionalFormatting sqref="A11">
    <cfRule type="expression" dxfId="296" priority="297">
      <formula>AND(XFB11=869)</formula>
    </cfRule>
  </conditionalFormatting>
  <conditionalFormatting sqref="A19:A37">
    <cfRule type="expression" dxfId="295" priority="296">
      <formula>AND(XFB16=869)</formula>
    </cfRule>
  </conditionalFormatting>
  <conditionalFormatting sqref="A18">
    <cfRule type="expression" dxfId="294" priority="295">
      <formula>AND(XFB17=869)</formula>
    </cfRule>
  </conditionalFormatting>
  <conditionalFormatting sqref="A18">
    <cfRule type="expression" dxfId="293" priority="294">
      <formula>AND(XFB18=869)</formula>
    </cfRule>
  </conditionalFormatting>
  <conditionalFormatting sqref="A38:A39 A42:A59">
    <cfRule type="expression" dxfId="292" priority="293">
      <formula>AND(XFB34=869)</formula>
    </cfRule>
  </conditionalFormatting>
  <conditionalFormatting sqref="A39">
    <cfRule type="expression" dxfId="291" priority="292">
      <formula>AND(XFB36=869)</formula>
    </cfRule>
  </conditionalFormatting>
  <conditionalFormatting sqref="A39">
    <cfRule type="expression" dxfId="290" priority="291">
      <formula>AND(XFB38=869)</formula>
    </cfRule>
  </conditionalFormatting>
  <conditionalFormatting sqref="A39">
    <cfRule type="expression" dxfId="289" priority="290">
      <formula>AND(XFB39=869)</formula>
    </cfRule>
  </conditionalFormatting>
  <conditionalFormatting sqref="A60:A66 A40:A41">
    <cfRule type="expression" dxfId="288" priority="289">
      <formula>AND(XFB35=869)</formula>
    </cfRule>
  </conditionalFormatting>
  <conditionalFormatting sqref="A59">
    <cfRule type="expression" dxfId="287" priority="288">
      <formula>AND(XFB56=869)</formula>
    </cfRule>
  </conditionalFormatting>
  <conditionalFormatting sqref="A59">
    <cfRule type="expression" dxfId="286" priority="287">
      <formula>AND(XFB57=869)</formula>
    </cfRule>
  </conditionalFormatting>
  <conditionalFormatting sqref="A59">
    <cfRule type="expression" dxfId="285" priority="286">
      <formula>AND(XFB58=869)</formula>
    </cfRule>
  </conditionalFormatting>
  <conditionalFormatting sqref="A59">
    <cfRule type="expression" dxfId="284" priority="285">
      <formula>AND(XFB59=869)</formula>
    </cfRule>
  </conditionalFormatting>
  <conditionalFormatting sqref="A67:A74">
    <cfRule type="expression" dxfId="283" priority="284">
      <formula>AND(XFB61=869)</formula>
    </cfRule>
  </conditionalFormatting>
  <conditionalFormatting sqref="A66">
    <cfRule type="expression" dxfId="282" priority="283">
      <formula>AND(XFB62=869)</formula>
    </cfRule>
  </conditionalFormatting>
  <conditionalFormatting sqref="A66">
    <cfRule type="expression" dxfId="281" priority="282">
      <formula>AND(XFB63=869)</formula>
    </cfRule>
  </conditionalFormatting>
  <conditionalFormatting sqref="A66">
    <cfRule type="expression" dxfId="280" priority="281">
      <formula>AND(XFB64=869)</formula>
    </cfRule>
  </conditionalFormatting>
  <conditionalFormatting sqref="A66">
    <cfRule type="expression" dxfId="279" priority="280">
      <formula>AND(XFB65=869)</formula>
    </cfRule>
  </conditionalFormatting>
  <conditionalFormatting sqref="A66">
    <cfRule type="expression" dxfId="278" priority="279">
      <formula>AND(XFB66=869)</formula>
    </cfRule>
  </conditionalFormatting>
  <conditionalFormatting sqref="A75:A79 A131:A132">
    <cfRule type="expression" dxfId="277" priority="278">
      <formula>AND(XFB68=869)</formula>
    </cfRule>
  </conditionalFormatting>
  <conditionalFormatting sqref="A74">
    <cfRule type="expression" dxfId="276" priority="277">
      <formula>AND(XFB69=869)</formula>
    </cfRule>
  </conditionalFormatting>
  <conditionalFormatting sqref="A74">
    <cfRule type="expression" dxfId="275" priority="276">
      <formula>AND(XFB70=869)</formula>
    </cfRule>
  </conditionalFormatting>
  <conditionalFormatting sqref="A74">
    <cfRule type="expression" dxfId="274" priority="275">
      <formula>AND(XFB71=869)</formula>
    </cfRule>
  </conditionalFormatting>
  <conditionalFormatting sqref="A74">
    <cfRule type="expression" dxfId="273" priority="274">
      <formula>AND(XFB72=869)</formula>
    </cfRule>
  </conditionalFormatting>
  <conditionalFormatting sqref="A74">
    <cfRule type="expression" dxfId="272" priority="273">
      <formula>AND(XFB73=869)</formula>
    </cfRule>
  </conditionalFormatting>
  <conditionalFormatting sqref="A74">
    <cfRule type="expression" dxfId="271" priority="272">
      <formula>AND(XFB74=869)</formula>
    </cfRule>
  </conditionalFormatting>
  <conditionalFormatting sqref="A80:A90 A133:A138">
    <cfRule type="expression" dxfId="270" priority="271">
      <formula>AND(XFB72=869)</formula>
    </cfRule>
  </conditionalFormatting>
  <conditionalFormatting sqref="A79">
    <cfRule type="expression" dxfId="269" priority="270">
      <formula>AND(XFB73=869)</formula>
    </cfRule>
  </conditionalFormatting>
  <conditionalFormatting sqref="A79">
    <cfRule type="expression" dxfId="268" priority="269">
      <formula>AND(XFB74=869)</formula>
    </cfRule>
  </conditionalFormatting>
  <conditionalFormatting sqref="A79">
    <cfRule type="expression" dxfId="267" priority="268">
      <formula>AND(XFB75=869)</formula>
    </cfRule>
  </conditionalFormatting>
  <conditionalFormatting sqref="A79">
    <cfRule type="expression" dxfId="266" priority="267">
      <formula>AND(XFB76=869)</formula>
    </cfRule>
  </conditionalFormatting>
  <conditionalFormatting sqref="A79">
    <cfRule type="expression" dxfId="265" priority="266">
      <formula>AND(XFB77=869)</formula>
    </cfRule>
  </conditionalFormatting>
  <conditionalFormatting sqref="A79">
    <cfRule type="expression" dxfId="264" priority="265">
      <formula>AND(XFB78=869)</formula>
    </cfRule>
  </conditionalFormatting>
  <conditionalFormatting sqref="A79">
    <cfRule type="expression" dxfId="263" priority="264">
      <formula>AND(XFB79=869)</formula>
    </cfRule>
  </conditionalFormatting>
  <conditionalFormatting sqref="A98:A104 A145:A147">
    <cfRule type="expression" dxfId="262" priority="263">
      <formula>AND(XFB84=869)</formula>
    </cfRule>
  </conditionalFormatting>
  <conditionalFormatting sqref="A97">
    <cfRule type="expression" dxfId="261" priority="262">
      <formula>AND(XFB85=869)</formula>
    </cfRule>
  </conditionalFormatting>
  <conditionalFormatting sqref="A97 A117:A130">
    <cfRule type="expression" dxfId="260" priority="261">
      <formula>AND(XFB86=869)</formula>
    </cfRule>
  </conditionalFormatting>
  <conditionalFormatting sqref="A97 A106:A116">
    <cfRule type="expression" dxfId="259" priority="260">
      <formula>AND(XFB87=869)</formula>
    </cfRule>
  </conditionalFormatting>
  <conditionalFormatting sqref="A97 A139">
    <cfRule type="expression" dxfId="258" priority="259">
      <formula>AND(XFB88=869)</formula>
    </cfRule>
  </conditionalFormatting>
  <conditionalFormatting sqref="A97">
    <cfRule type="expression" dxfId="257" priority="258">
      <formula>AND(XFB89=869)</formula>
    </cfRule>
  </conditionalFormatting>
  <conditionalFormatting sqref="A97">
    <cfRule type="expression" dxfId="256" priority="257">
      <formula>AND(XFB90=869)</formula>
    </cfRule>
  </conditionalFormatting>
  <conditionalFormatting sqref="A97">
    <cfRule type="expression" dxfId="255" priority="256">
      <formula>AND(XFB96=869)</formula>
    </cfRule>
  </conditionalFormatting>
  <conditionalFormatting sqref="A97">
    <cfRule type="expression" dxfId="254" priority="255">
      <formula>AND(XFB97=869)</formula>
    </cfRule>
  </conditionalFormatting>
  <conditionalFormatting sqref="A104">
    <cfRule type="expression" dxfId="253" priority="254">
      <formula>AND(XFB96=869)</formula>
    </cfRule>
  </conditionalFormatting>
  <conditionalFormatting sqref="A104">
    <cfRule type="expression" dxfId="252" priority="253">
      <formula>AND(XFB97=869)</formula>
    </cfRule>
  </conditionalFormatting>
  <conditionalFormatting sqref="A104">
    <cfRule type="expression" dxfId="251" priority="252">
      <formula>AND(XFB98=869)</formula>
    </cfRule>
  </conditionalFormatting>
  <conditionalFormatting sqref="A104">
    <cfRule type="expression" dxfId="250" priority="251">
      <formula>AND(XFB99=869)</formula>
    </cfRule>
  </conditionalFormatting>
  <conditionalFormatting sqref="A104">
    <cfRule type="expression" dxfId="249" priority="250">
      <formula>AND(XFB100=869)</formula>
    </cfRule>
  </conditionalFormatting>
  <conditionalFormatting sqref="A104">
    <cfRule type="expression" dxfId="248" priority="249">
      <formula>AND(XFB101=869)</formula>
    </cfRule>
  </conditionalFormatting>
  <conditionalFormatting sqref="A104">
    <cfRule type="expression" dxfId="247" priority="248">
      <formula>AND(XFB102=869)</formula>
    </cfRule>
  </conditionalFormatting>
  <conditionalFormatting sqref="A104">
    <cfRule type="expression" dxfId="246" priority="247">
      <formula>AND(XFB103=869)</formula>
    </cfRule>
  </conditionalFormatting>
  <conditionalFormatting sqref="A104">
    <cfRule type="expression" dxfId="245" priority="246">
      <formula>AND(XFB104=869)</formula>
    </cfRule>
  </conditionalFormatting>
  <conditionalFormatting sqref="A116">
    <cfRule type="expression" dxfId="244" priority="245">
      <formula>AND(XFB107=869)</formula>
    </cfRule>
  </conditionalFormatting>
  <conditionalFormatting sqref="A116">
    <cfRule type="expression" dxfId="243" priority="244">
      <formula>AND(XFB108=869)</formula>
    </cfRule>
  </conditionalFormatting>
  <conditionalFormatting sqref="A116">
    <cfRule type="expression" dxfId="242" priority="243">
      <formula>AND(XFB109=869)</formula>
    </cfRule>
  </conditionalFormatting>
  <conditionalFormatting sqref="A116">
    <cfRule type="expression" dxfId="241" priority="242">
      <formula>AND(XFB110=869)</formula>
    </cfRule>
  </conditionalFormatting>
  <conditionalFormatting sqref="A116">
    <cfRule type="expression" dxfId="240" priority="241">
      <formula>AND(XFB111=869)</formula>
    </cfRule>
  </conditionalFormatting>
  <conditionalFormatting sqref="A116">
    <cfRule type="expression" dxfId="239" priority="240">
      <formula>AND(XFB112=869)</formula>
    </cfRule>
  </conditionalFormatting>
  <conditionalFormatting sqref="A116">
    <cfRule type="expression" dxfId="238" priority="239">
      <formula>AND(XFB113=869)</formula>
    </cfRule>
  </conditionalFormatting>
  <conditionalFormatting sqref="A116">
    <cfRule type="expression" dxfId="237" priority="238">
      <formula>AND(XFB114=869)</formula>
    </cfRule>
  </conditionalFormatting>
  <conditionalFormatting sqref="A116">
    <cfRule type="expression" dxfId="236" priority="237">
      <formula>AND(XFB115=869)</formula>
    </cfRule>
  </conditionalFormatting>
  <conditionalFormatting sqref="A116">
    <cfRule type="expression" dxfId="235" priority="236">
      <formula>AND(XFB116=869)</formula>
    </cfRule>
  </conditionalFormatting>
  <conditionalFormatting sqref="A92">
    <cfRule type="expression" dxfId="234" priority="235">
      <formula>AND(XFB122=869)</formula>
    </cfRule>
  </conditionalFormatting>
  <conditionalFormatting sqref="A92">
    <cfRule type="expression" dxfId="233" priority="234">
      <formula>AND(XFB123=869)</formula>
    </cfRule>
  </conditionalFormatting>
  <conditionalFormatting sqref="A92">
    <cfRule type="expression" dxfId="232" priority="233">
      <formula>AND(XFB124=869)</formula>
    </cfRule>
  </conditionalFormatting>
  <conditionalFormatting sqref="A92">
    <cfRule type="expression" dxfId="231" priority="232">
      <formula>AND(XFB125=869)</formula>
    </cfRule>
  </conditionalFormatting>
  <conditionalFormatting sqref="A92">
    <cfRule type="expression" dxfId="230" priority="231">
      <formula>AND(XFB126=869)</formula>
    </cfRule>
  </conditionalFormatting>
  <conditionalFormatting sqref="A92">
    <cfRule type="expression" dxfId="229" priority="230">
      <formula>AND(XFB127=869)</formula>
    </cfRule>
  </conditionalFormatting>
  <conditionalFormatting sqref="A92">
    <cfRule type="expression" dxfId="228" priority="229">
      <formula>AND(XFB128=869)</formula>
    </cfRule>
  </conditionalFormatting>
  <conditionalFormatting sqref="A92">
    <cfRule type="expression" dxfId="227" priority="228">
      <formula>AND(XFB129=869)</formula>
    </cfRule>
  </conditionalFormatting>
  <conditionalFormatting sqref="A92">
    <cfRule type="expression" dxfId="226" priority="227">
      <formula>AND(XFB130=869)</formula>
    </cfRule>
  </conditionalFormatting>
  <conditionalFormatting sqref="A92">
    <cfRule type="expression" dxfId="225" priority="226">
      <formula>AND(XFB91=869)</formula>
    </cfRule>
  </conditionalFormatting>
  <conditionalFormatting sqref="A92">
    <cfRule type="expression" dxfId="224" priority="225">
      <formula>AND(XFB92=869)</formula>
    </cfRule>
  </conditionalFormatting>
  <conditionalFormatting sqref="A96:A97">
    <cfRule type="expression" dxfId="223" priority="224">
      <formula>AND(XFB83=869)</formula>
    </cfRule>
  </conditionalFormatting>
  <conditionalFormatting sqref="A132">
    <cfRule type="expression" dxfId="222" priority="223">
      <formula>AND(XFB126=869)</formula>
    </cfRule>
  </conditionalFormatting>
  <conditionalFormatting sqref="A132">
    <cfRule type="expression" dxfId="221" priority="222">
      <formula>AND(XFB127=869)</formula>
    </cfRule>
  </conditionalFormatting>
  <conditionalFormatting sqref="A132">
    <cfRule type="expression" dxfId="220" priority="221">
      <formula>AND(XFB128=869)</formula>
    </cfRule>
  </conditionalFormatting>
  <conditionalFormatting sqref="A132">
    <cfRule type="expression" dxfId="219" priority="220">
      <formula>AND(XFB129=869)</formula>
    </cfRule>
  </conditionalFormatting>
  <conditionalFormatting sqref="A132">
    <cfRule type="expression" dxfId="218" priority="219">
      <formula>AND(XFB130=869)</formula>
    </cfRule>
  </conditionalFormatting>
  <conditionalFormatting sqref="A132">
    <cfRule type="expression" dxfId="217" priority="218">
      <formula>AND(XFB131=869)</formula>
    </cfRule>
  </conditionalFormatting>
  <conditionalFormatting sqref="A132">
    <cfRule type="expression" dxfId="216" priority="217">
      <formula>AND(XFB132=869)</formula>
    </cfRule>
  </conditionalFormatting>
  <conditionalFormatting sqref="A138">
    <cfRule type="expression" dxfId="215" priority="216">
      <formula>AND(XFB131=869)</formula>
    </cfRule>
  </conditionalFormatting>
  <conditionalFormatting sqref="A138">
    <cfRule type="expression" dxfId="214" priority="215">
      <formula>AND(XFB132=869)</formula>
    </cfRule>
  </conditionalFormatting>
  <conditionalFormatting sqref="A138">
    <cfRule type="expression" dxfId="213" priority="214">
      <formula>AND(XFB133=869)</formula>
    </cfRule>
  </conditionalFormatting>
  <conditionalFormatting sqref="A138">
    <cfRule type="expression" dxfId="212" priority="213">
      <formula>AND(XFB134=869)</formula>
    </cfRule>
  </conditionalFormatting>
  <conditionalFormatting sqref="A138">
    <cfRule type="expression" dxfId="211" priority="212">
      <formula>AND(XFB135=869)</formula>
    </cfRule>
  </conditionalFormatting>
  <conditionalFormatting sqref="A138">
    <cfRule type="expression" dxfId="210" priority="211">
      <formula>AND(XFB136=869)</formula>
    </cfRule>
  </conditionalFormatting>
  <conditionalFormatting sqref="A138">
    <cfRule type="expression" dxfId="209" priority="210">
      <formula>AND(XFB137=869)</formula>
    </cfRule>
  </conditionalFormatting>
  <conditionalFormatting sqref="A138">
    <cfRule type="expression" dxfId="208" priority="209">
      <formula>AND(XFB138=869)</formula>
    </cfRule>
  </conditionalFormatting>
  <conditionalFormatting sqref="A148:A156 A105">
    <cfRule type="expression" dxfId="207" priority="208">
      <formula>AND(XFB90=869)</formula>
    </cfRule>
  </conditionalFormatting>
  <conditionalFormatting sqref="A147">
    <cfRule type="expression" dxfId="206" priority="207">
      <formula>AND(XFB134=869)</formula>
    </cfRule>
  </conditionalFormatting>
  <conditionalFormatting sqref="A147">
    <cfRule type="expression" dxfId="205" priority="206">
      <formula>AND(XFB135=869)</formula>
    </cfRule>
  </conditionalFormatting>
  <conditionalFormatting sqref="A147">
    <cfRule type="expression" dxfId="204" priority="205">
      <formula>AND(XFB136=869)</formula>
    </cfRule>
  </conditionalFormatting>
  <conditionalFormatting sqref="A147">
    <cfRule type="expression" dxfId="203" priority="204">
      <formula>AND(XFB137=869)</formula>
    </cfRule>
  </conditionalFormatting>
  <conditionalFormatting sqref="A147">
    <cfRule type="expression" dxfId="202" priority="203">
      <formula>AND(XFB138=869)</formula>
    </cfRule>
  </conditionalFormatting>
  <conditionalFormatting sqref="A147">
    <cfRule type="expression" dxfId="201" priority="202">
      <formula>AND(XFB139=869)</formula>
    </cfRule>
  </conditionalFormatting>
  <conditionalFormatting sqref="A147">
    <cfRule type="expression" dxfId="200" priority="201">
      <formula>AND(XFB140=869)</formula>
    </cfRule>
  </conditionalFormatting>
  <conditionalFormatting sqref="A147">
    <cfRule type="expression" dxfId="199" priority="200">
      <formula>AND(XFB141=869)</formula>
    </cfRule>
  </conditionalFormatting>
  <conditionalFormatting sqref="A147">
    <cfRule type="expression" dxfId="198" priority="199">
      <formula>AND(XFB142=869)</formula>
    </cfRule>
  </conditionalFormatting>
  <conditionalFormatting sqref="A147">
    <cfRule type="expression" dxfId="197" priority="198">
      <formula>AND(XFB143=869)</formula>
    </cfRule>
  </conditionalFormatting>
  <conditionalFormatting sqref="A147">
    <cfRule type="expression" dxfId="196" priority="197">
      <formula>AND(XFB144=869)</formula>
    </cfRule>
  </conditionalFormatting>
  <conditionalFormatting sqref="A147">
    <cfRule type="expression" dxfId="195" priority="196">
      <formula>AND(XFB145=869)</formula>
    </cfRule>
  </conditionalFormatting>
  <conditionalFormatting sqref="A147">
    <cfRule type="expression" dxfId="194" priority="195">
      <formula>AND(XFB146=869)</formula>
    </cfRule>
  </conditionalFormatting>
  <conditionalFormatting sqref="A147">
    <cfRule type="expression" dxfId="193" priority="194">
      <formula>AND(XFB147=869)</formula>
    </cfRule>
  </conditionalFormatting>
  <conditionalFormatting sqref="A157:A163">
    <cfRule type="expression" dxfId="192" priority="193">
      <formula>AND(XFB141=869)</formula>
    </cfRule>
  </conditionalFormatting>
  <conditionalFormatting sqref="A156">
    <cfRule type="expression" dxfId="191" priority="192">
      <formula>AND(XFB142=869)</formula>
    </cfRule>
  </conditionalFormatting>
  <conditionalFormatting sqref="A156">
    <cfRule type="expression" dxfId="190" priority="191">
      <formula>AND(XFB143=869)</formula>
    </cfRule>
  </conditionalFormatting>
  <conditionalFormatting sqref="A156">
    <cfRule type="expression" dxfId="189" priority="190">
      <formula>AND(XFB144=869)</formula>
    </cfRule>
  </conditionalFormatting>
  <conditionalFormatting sqref="A156">
    <cfRule type="expression" dxfId="188" priority="189">
      <formula>AND(XFB145=869)</formula>
    </cfRule>
  </conditionalFormatting>
  <conditionalFormatting sqref="A156">
    <cfRule type="expression" dxfId="187" priority="188">
      <formula>AND(XFB146=869)</formula>
    </cfRule>
  </conditionalFormatting>
  <conditionalFormatting sqref="A156">
    <cfRule type="expression" dxfId="186" priority="187">
      <formula>AND(XFB147=869)</formula>
    </cfRule>
  </conditionalFormatting>
  <conditionalFormatting sqref="A156">
    <cfRule type="expression" dxfId="185" priority="186">
      <formula>AND(XFB148=869)</formula>
    </cfRule>
  </conditionalFormatting>
  <conditionalFormatting sqref="A156">
    <cfRule type="expression" dxfId="184" priority="185">
      <formula>AND(XFB149=869)</formula>
    </cfRule>
  </conditionalFormatting>
  <conditionalFormatting sqref="A156">
    <cfRule type="expression" dxfId="183" priority="184">
      <formula>AND(XFB150=869)</formula>
    </cfRule>
  </conditionalFormatting>
  <conditionalFormatting sqref="A156">
    <cfRule type="expression" dxfId="182" priority="183">
      <formula>AND(XFB151=869)</formula>
    </cfRule>
  </conditionalFormatting>
  <conditionalFormatting sqref="A156">
    <cfRule type="expression" dxfId="181" priority="182">
      <formula>AND(XFB152=869)</formula>
    </cfRule>
  </conditionalFormatting>
  <conditionalFormatting sqref="A156">
    <cfRule type="expression" dxfId="180" priority="181">
      <formula>AND(XFB153=869)</formula>
    </cfRule>
  </conditionalFormatting>
  <conditionalFormatting sqref="A156">
    <cfRule type="expression" dxfId="179" priority="180">
      <formula>AND(XFB154=869)</formula>
    </cfRule>
  </conditionalFormatting>
  <conditionalFormatting sqref="A156">
    <cfRule type="expression" dxfId="178" priority="179">
      <formula>AND(XFB155=869)</formula>
    </cfRule>
  </conditionalFormatting>
  <conditionalFormatting sqref="A156">
    <cfRule type="expression" dxfId="177" priority="178">
      <formula>AND(XFB156=869)</formula>
    </cfRule>
  </conditionalFormatting>
  <conditionalFormatting sqref="A164:A176">
    <cfRule type="expression" dxfId="176" priority="177">
      <formula>AND(XFB147=869)</formula>
    </cfRule>
  </conditionalFormatting>
  <conditionalFormatting sqref="A163">
    <cfRule type="expression" dxfId="175" priority="176">
      <formula>AND(XFB148=869)</formula>
    </cfRule>
  </conditionalFormatting>
  <conditionalFormatting sqref="A163">
    <cfRule type="expression" dxfId="174" priority="175">
      <formula>AND(XFB149=869)</formula>
    </cfRule>
  </conditionalFormatting>
  <conditionalFormatting sqref="A163">
    <cfRule type="expression" dxfId="173" priority="174">
      <formula>AND(XFB150=869)</formula>
    </cfRule>
  </conditionalFormatting>
  <conditionalFormatting sqref="A163">
    <cfRule type="expression" dxfId="172" priority="173">
      <formula>AND(XFB151=869)</formula>
    </cfRule>
  </conditionalFormatting>
  <conditionalFormatting sqref="A163">
    <cfRule type="expression" dxfId="171" priority="172">
      <formula>AND(XFB152=869)</formula>
    </cfRule>
  </conditionalFormatting>
  <conditionalFormatting sqref="A163">
    <cfRule type="expression" dxfId="170" priority="171">
      <formula>AND(XFB153=869)</formula>
    </cfRule>
  </conditionalFormatting>
  <conditionalFormatting sqref="A163">
    <cfRule type="expression" dxfId="169" priority="170">
      <formula>AND(XFB154=869)</formula>
    </cfRule>
  </conditionalFormatting>
  <conditionalFormatting sqref="A163">
    <cfRule type="expression" dxfId="168" priority="169">
      <formula>AND(XFB155=869)</formula>
    </cfRule>
  </conditionalFormatting>
  <conditionalFormatting sqref="A163">
    <cfRule type="expression" dxfId="167" priority="168">
      <formula>AND(XFB156=869)</formula>
    </cfRule>
  </conditionalFormatting>
  <conditionalFormatting sqref="A163">
    <cfRule type="expression" dxfId="166" priority="167">
      <formula>AND(XFB157=869)</formula>
    </cfRule>
  </conditionalFormatting>
  <conditionalFormatting sqref="A163">
    <cfRule type="expression" dxfId="165" priority="166">
      <formula>AND(XFB158=869)</formula>
    </cfRule>
  </conditionalFormatting>
  <conditionalFormatting sqref="A163">
    <cfRule type="expression" dxfId="164" priority="165">
      <formula>AND(XFB159=869)</formula>
    </cfRule>
  </conditionalFormatting>
  <conditionalFormatting sqref="A163">
    <cfRule type="expression" dxfId="163" priority="164">
      <formula>AND(XFB160=869)</formula>
    </cfRule>
  </conditionalFormatting>
  <conditionalFormatting sqref="A163">
    <cfRule type="expression" dxfId="162" priority="163">
      <formula>AND(XFB161=869)</formula>
    </cfRule>
  </conditionalFormatting>
  <conditionalFormatting sqref="A163">
    <cfRule type="expression" dxfId="161" priority="162">
      <formula>AND(XFB162=869)</formula>
    </cfRule>
  </conditionalFormatting>
  <conditionalFormatting sqref="A163">
    <cfRule type="expression" dxfId="160" priority="161">
      <formula>AND(XFB163=869)</formula>
    </cfRule>
  </conditionalFormatting>
  <conditionalFormatting sqref="A177:A180">
    <cfRule type="expression" dxfId="159" priority="160">
      <formula>AND(XFB159=869)</formula>
    </cfRule>
  </conditionalFormatting>
  <conditionalFormatting sqref="A176">
    <cfRule type="expression" dxfId="158" priority="159">
      <formula>AND(XFB160=869)</formula>
    </cfRule>
  </conditionalFormatting>
  <conditionalFormatting sqref="A176">
    <cfRule type="expression" dxfId="157" priority="158">
      <formula>AND(XFB161=869)</formula>
    </cfRule>
  </conditionalFormatting>
  <conditionalFormatting sqref="A176">
    <cfRule type="expression" dxfId="156" priority="157">
      <formula>AND(XFB162=869)</formula>
    </cfRule>
  </conditionalFormatting>
  <conditionalFormatting sqref="A176">
    <cfRule type="expression" dxfId="155" priority="156">
      <formula>AND(XFB163=869)</formula>
    </cfRule>
  </conditionalFormatting>
  <conditionalFormatting sqref="A176">
    <cfRule type="expression" dxfId="154" priority="155">
      <formula>AND(XFB164=869)</formula>
    </cfRule>
  </conditionalFormatting>
  <conditionalFormatting sqref="A176">
    <cfRule type="expression" dxfId="153" priority="154">
      <formula>AND(XFB165=869)</formula>
    </cfRule>
  </conditionalFormatting>
  <conditionalFormatting sqref="A176">
    <cfRule type="expression" dxfId="152" priority="153">
      <formula>AND(XFB166=869)</formula>
    </cfRule>
  </conditionalFormatting>
  <conditionalFormatting sqref="A176">
    <cfRule type="expression" dxfId="151" priority="152">
      <formula>AND(XFB167=869)</formula>
    </cfRule>
  </conditionalFormatting>
  <conditionalFormatting sqref="A176">
    <cfRule type="expression" dxfId="150" priority="151">
      <formula>AND(XFB168=869)</formula>
    </cfRule>
  </conditionalFormatting>
  <conditionalFormatting sqref="A176">
    <cfRule type="expression" dxfId="149" priority="150">
      <formula>AND(XFB169=869)</formula>
    </cfRule>
  </conditionalFormatting>
  <conditionalFormatting sqref="A176">
    <cfRule type="expression" dxfId="148" priority="149">
      <formula>AND(XFB170=869)</formula>
    </cfRule>
  </conditionalFormatting>
  <conditionalFormatting sqref="A176">
    <cfRule type="expression" dxfId="147" priority="148">
      <formula>AND(XFB171=869)</formula>
    </cfRule>
  </conditionalFormatting>
  <conditionalFormatting sqref="A176">
    <cfRule type="expression" dxfId="146" priority="147">
      <formula>AND(XFB172=869)</formula>
    </cfRule>
  </conditionalFormatting>
  <conditionalFormatting sqref="A176">
    <cfRule type="expression" dxfId="145" priority="146">
      <formula>AND(XFB173=869)</formula>
    </cfRule>
  </conditionalFormatting>
  <conditionalFormatting sqref="A176">
    <cfRule type="expression" dxfId="144" priority="145">
      <formula>AND(XFB174=869)</formula>
    </cfRule>
  </conditionalFormatting>
  <conditionalFormatting sqref="A176">
    <cfRule type="expression" dxfId="143" priority="144">
      <formula>AND(XFB175=869)</formula>
    </cfRule>
  </conditionalFormatting>
  <conditionalFormatting sqref="A176">
    <cfRule type="expression" dxfId="142" priority="143">
      <formula>AND(XFB176=869)</formula>
    </cfRule>
  </conditionalFormatting>
  <conditionalFormatting sqref="A181:A196">
    <cfRule type="expression" dxfId="141" priority="142">
      <formula>AND(XFB162=869)</formula>
    </cfRule>
  </conditionalFormatting>
  <conditionalFormatting sqref="A180">
    <cfRule type="expression" dxfId="140" priority="141">
      <formula>AND(XFB163=869)</formula>
    </cfRule>
  </conditionalFormatting>
  <conditionalFormatting sqref="A180">
    <cfRule type="expression" dxfId="139" priority="140">
      <formula>AND(XFB164=869)</formula>
    </cfRule>
  </conditionalFormatting>
  <conditionalFormatting sqref="A180">
    <cfRule type="expression" dxfId="138" priority="139">
      <formula>AND(XFB165=869)</formula>
    </cfRule>
  </conditionalFormatting>
  <conditionalFormatting sqref="A180">
    <cfRule type="expression" dxfId="137" priority="138">
      <formula>AND(XFB166=869)</formula>
    </cfRule>
  </conditionalFormatting>
  <conditionalFormatting sqref="A180">
    <cfRule type="expression" dxfId="136" priority="137">
      <formula>AND(XFB167=869)</formula>
    </cfRule>
  </conditionalFormatting>
  <conditionalFormatting sqref="A180">
    <cfRule type="expression" dxfId="135" priority="136">
      <formula>AND(XFB168=869)</formula>
    </cfRule>
  </conditionalFormatting>
  <conditionalFormatting sqref="A180">
    <cfRule type="expression" dxfId="134" priority="135">
      <formula>AND(XFB169=869)</formula>
    </cfRule>
  </conditionalFormatting>
  <conditionalFormatting sqref="A180">
    <cfRule type="expression" dxfId="133" priority="134">
      <formula>AND(XFB170=869)</formula>
    </cfRule>
  </conditionalFormatting>
  <conditionalFormatting sqref="A180">
    <cfRule type="expression" dxfId="132" priority="133">
      <formula>AND(XFB171=869)</formula>
    </cfRule>
  </conditionalFormatting>
  <conditionalFormatting sqref="A180">
    <cfRule type="expression" dxfId="131" priority="132">
      <formula>AND(XFB172=869)</formula>
    </cfRule>
  </conditionalFormatting>
  <conditionalFormatting sqref="A180">
    <cfRule type="expression" dxfId="130" priority="131">
      <formula>AND(XFB173=869)</formula>
    </cfRule>
  </conditionalFormatting>
  <conditionalFormatting sqref="A180">
    <cfRule type="expression" dxfId="129" priority="130">
      <formula>AND(XFB174=869)</formula>
    </cfRule>
  </conditionalFormatting>
  <conditionalFormatting sqref="A180">
    <cfRule type="expression" dxfId="128" priority="129">
      <formula>AND(XFB175=869)</formula>
    </cfRule>
  </conditionalFormatting>
  <conditionalFormatting sqref="A180">
    <cfRule type="expression" dxfId="127" priority="128">
      <formula>AND(XFB176=869)</formula>
    </cfRule>
  </conditionalFormatting>
  <conditionalFormatting sqref="A180">
    <cfRule type="expression" dxfId="126" priority="127">
      <formula>AND(XFB177=869)</formula>
    </cfRule>
  </conditionalFormatting>
  <conditionalFormatting sqref="A180">
    <cfRule type="expression" dxfId="125" priority="126">
      <formula>AND(XFB178=869)</formula>
    </cfRule>
  </conditionalFormatting>
  <conditionalFormatting sqref="A180">
    <cfRule type="expression" dxfId="124" priority="125">
      <formula>AND(XFB179=869)</formula>
    </cfRule>
  </conditionalFormatting>
  <conditionalFormatting sqref="A180">
    <cfRule type="expression" dxfId="123" priority="124">
      <formula>AND(XFB180=869)</formula>
    </cfRule>
  </conditionalFormatting>
  <conditionalFormatting sqref="A197:A202">
    <cfRule type="expression" dxfId="122" priority="123">
      <formula>AND(XFB177=869)</formula>
    </cfRule>
  </conditionalFormatting>
  <conditionalFormatting sqref="A196">
    <cfRule type="expression" dxfId="121" priority="122">
      <formula>AND(XFB178=869)</formula>
    </cfRule>
  </conditionalFormatting>
  <conditionalFormatting sqref="A196">
    <cfRule type="expression" dxfId="120" priority="121">
      <formula>AND(XFB179=869)</formula>
    </cfRule>
  </conditionalFormatting>
  <conditionalFormatting sqref="A196">
    <cfRule type="expression" dxfId="119" priority="120">
      <formula>AND(XFB180=869)</formula>
    </cfRule>
  </conditionalFormatting>
  <conditionalFormatting sqref="A196">
    <cfRule type="expression" dxfId="118" priority="119">
      <formula>AND(XFB181=869)</formula>
    </cfRule>
  </conditionalFormatting>
  <conditionalFormatting sqref="A196">
    <cfRule type="expression" dxfId="117" priority="118">
      <formula>AND(XFB182=869)</formula>
    </cfRule>
  </conditionalFormatting>
  <conditionalFormatting sqref="A196">
    <cfRule type="expression" dxfId="116" priority="117">
      <formula>AND(XFB183=869)</formula>
    </cfRule>
  </conditionalFormatting>
  <conditionalFormatting sqref="A196">
    <cfRule type="expression" dxfId="115" priority="116">
      <formula>AND(XFB184=869)</formula>
    </cfRule>
  </conditionalFormatting>
  <conditionalFormatting sqref="A196">
    <cfRule type="expression" dxfId="114" priority="115">
      <formula>AND(XFB185=869)</formula>
    </cfRule>
  </conditionalFormatting>
  <conditionalFormatting sqref="A196">
    <cfRule type="expression" dxfId="113" priority="114">
      <formula>AND(XFB186=869)</formula>
    </cfRule>
  </conditionalFormatting>
  <conditionalFormatting sqref="A196">
    <cfRule type="expression" dxfId="112" priority="113">
      <formula>AND(XFB187=869)</formula>
    </cfRule>
  </conditionalFormatting>
  <conditionalFormatting sqref="A196">
    <cfRule type="expression" dxfId="111" priority="112">
      <formula>AND(XFB188=869)</formula>
    </cfRule>
  </conditionalFormatting>
  <conditionalFormatting sqref="A196">
    <cfRule type="expression" dxfId="110" priority="111">
      <formula>AND(XFB189=869)</formula>
    </cfRule>
  </conditionalFormatting>
  <conditionalFormatting sqref="A196">
    <cfRule type="expression" dxfId="109" priority="110">
      <formula>AND(XFB190=869)</formula>
    </cfRule>
  </conditionalFormatting>
  <conditionalFormatting sqref="A196">
    <cfRule type="expression" dxfId="108" priority="109">
      <formula>AND(XFB191=869)</formula>
    </cfRule>
  </conditionalFormatting>
  <conditionalFormatting sqref="A196">
    <cfRule type="expression" dxfId="107" priority="108">
      <formula>AND(XFB192=869)</formula>
    </cfRule>
  </conditionalFormatting>
  <conditionalFormatting sqref="A196">
    <cfRule type="expression" dxfId="106" priority="107">
      <formula>AND(XFB193=869)</formula>
    </cfRule>
  </conditionalFormatting>
  <conditionalFormatting sqref="A196">
    <cfRule type="expression" dxfId="105" priority="106">
      <formula>AND(XFB194=869)</formula>
    </cfRule>
  </conditionalFormatting>
  <conditionalFormatting sqref="A196">
    <cfRule type="expression" dxfId="104" priority="105">
      <formula>AND(XFB195=869)</formula>
    </cfRule>
  </conditionalFormatting>
  <conditionalFormatting sqref="A196">
    <cfRule type="expression" dxfId="103" priority="104">
      <formula>AND(XFB196=869)</formula>
    </cfRule>
  </conditionalFormatting>
  <conditionalFormatting sqref="A203:A210">
    <cfRule type="expression" dxfId="102" priority="103">
      <formula>AND(XFB182=869)</formula>
    </cfRule>
  </conditionalFormatting>
  <conditionalFormatting sqref="A202">
    <cfRule type="expression" dxfId="101" priority="102">
      <formula>AND(XFB183=869)</formula>
    </cfRule>
  </conditionalFormatting>
  <conditionalFormatting sqref="A202">
    <cfRule type="expression" dxfId="100" priority="101">
      <formula>AND(XFB184=869)</formula>
    </cfRule>
  </conditionalFormatting>
  <conditionalFormatting sqref="A202">
    <cfRule type="expression" dxfId="99" priority="100">
      <formula>AND(XFB185=869)</formula>
    </cfRule>
  </conditionalFormatting>
  <conditionalFormatting sqref="A202">
    <cfRule type="expression" dxfId="98" priority="99">
      <formula>AND(XFB186=869)</formula>
    </cfRule>
  </conditionalFormatting>
  <conditionalFormatting sqref="A202">
    <cfRule type="expression" dxfId="97" priority="98">
      <formula>AND(XFB187=869)</formula>
    </cfRule>
  </conditionalFormatting>
  <conditionalFormatting sqref="A202">
    <cfRule type="expression" dxfId="96" priority="97">
      <formula>AND(XFB188=869)</formula>
    </cfRule>
  </conditionalFormatting>
  <conditionalFormatting sqref="A202">
    <cfRule type="expression" dxfId="95" priority="96">
      <formula>AND(XFB189=869)</formula>
    </cfRule>
  </conditionalFormatting>
  <conditionalFormatting sqref="A202">
    <cfRule type="expression" dxfId="94" priority="95">
      <formula>AND(XFB190=869)</formula>
    </cfRule>
  </conditionalFormatting>
  <conditionalFormatting sqref="A202">
    <cfRule type="expression" dxfId="93" priority="94">
      <formula>AND(XFB191=869)</formula>
    </cfRule>
  </conditionalFormatting>
  <conditionalFormatting sqref="A202">
    <cfRule type="expression" dxfId="92" priority="93">
      <formula>AND(XFB192=869)</formula>
    </cfRule>
  </conditionalFormatting>
  <conditionalFormatting sqref="A202">
    <cfRule type="expression" dxfId="91" priority="92">
      <formula>AND(XFB193=869)</formula>
    </cfRule>
  </conditionalFormatting>
  <conditionalFormatting sqref="A202">
    <cfRule type="expression" dxfId="90" priority="91">
      <formula>AND(XFB194=869)</formula>
    </cfRule>
  </conditionalFormatting>
  <conditionalFormatting sqref="A202">
    <cfRule type="expression" dxfId="89" priority="90">
      <formula>AND(XFB195=869)</formula>
    </cfRule>
  </conditionalFormatting>
  <conditionalFormatting sqref="A202">
    <cfRule type="expression" dxfId="88" priority="89">
      <formula>AND(XFB196=869)</formula>
    </cfRule>
  </conditionalFormatting>
  <conditionalFormatting sqref="A202">
    <cfRule type="expression" dxfId="87" priority="88">
      <formula>AND(XFB197=869)</formula>
    </cfRule>
  </conditionalFormatting>
  <conditionalFormatting sqref="A202">
    <cfRule type="expression" dxfId="86" priority="87">
      <formula>AND(XFB198=869)</formula>
    </cfRule>
  </conditionalFormatting>
  <conditionalFormatting sqref="A202">
    <cfRule type="expression" dxfId="85" priority="86">
      <formula>AND(XFB199=869)</formula>
    </cfRule>
  </conditionalFormatting>
  <conditionalFormatting sqref="A202">
    <cfRule type="expression" dxfId="84" priority="85">
      <formula>AND(XFB200=869)</formula>
    </cfRule>
  </conditionalFormatting>
  <conditionalFormatting sqref="A202">
    <cfRule type="expression" dxfId="83" priority="84">
      <formula>AND(XFB201=869)</formula>
    </cfRule>
  </conditionalFormatting>
  <conditionalFormatting sqref="A202">
    <cfRule type="expression" dxfId="82" priority="83">
      <formula>AND(XFB202=869)</formula>
    </cfRule>
  </conditionalFormatting>
  <conditionalFormatting sqref="A213:A222">
    <cfRule type="expression" dxfId="81" priority="82">
      <formula>AND(XFB190=869)</formula>
    </cfRule>
  </conditionalFormatting>
  <conditionalFormatting sqref="A212">
    <cfRule type="expression" dxfId="80" priority="81">
      <formula>AND(XFB191=869)</formula>
    </cfRule>
  </conditionalFormatting>
  <conditionalFormatting sqref="A212">
    <cfRule type="expression" dxfId="79" priority="80">
      <formula>AND(XFB192=869)</formula>
    </cfRule>
  </conditionalFormatting>
  <conditionalFormatting sqref="A212">
    <cfRule type="expression" dxfId="78" priority="79">
      <formula>AND(XFB193=869)</formula>
    </cfRule>
  </conditionalFormatting>
  <conditionalFormatting sqref="A212">
    <cfRule type="expression" dxfId="77" priority="78">
      <formula>AND(XFB194=869)</formula>
    </cfRule>
  </conditionalFormatting>
  <conditionalFormatting sqref="A212">
    <cfRule type="expression" dxfId="76" priority="77">
      <formula>AND(XFB195=869)</formula>
    </cfRule>
  </conditionalFormatting>
  <conditionalFormatting sqref="A212">
    <cfRule type="expression" dxfId="75" priority="76">
      <formula>AND(XFB196=869)</formula>
    </cfRule>
  </conditionalFormatting>
  <conditionalFormatting sqref="A212">
    <cfRule type="expression" dxfId="74" priority="75">
      <formula>AND(XFB197=869)</formula>
    </cfRule>
  </conditionalFormatting>
  <conditionalFormatting sqref="A212">
    <cfRule type="expression" dxfId="73" priority="74">
      <formula>AND(XFB198=869)</formula>
    </cfRule>
  </conditionalFormatting>
  <conditionalFormatting sqref="A212">
    <cfRule type="expression" dxfId="72" priority="73">
      <formula>AND(XFB199=869)</formula>
    </cfRule>
  </conditionalFormatting>
  <conditionalFormatting sqref="A212">
    <cfRule type="expression" dxfId="71" priority="72">
      <formula>AND(XFB200=869)</formula>
    </cfRule>
  </conditionalFormatting>
  <conditionalFormatting sqref="A212">
    <cfRule type="expression" dxfId="70" priority="71">
      <formula>AND(XFB201=869)</formula>
    </cfRule>
  </conditionalFormatting>
  <conditionalFormatting sqref="A212">
    <cfRule type="expression" dxfId="69" priority="70">
      <formula>AND(XFB202=869)</formula>
    </cfRule>
  </conditionalFormatting>
  <conditionalFormatting sqref="A212">
    <cfRule type="expression" dxfId="68" priority="69">
      <formula>AND(XFB203=869)</formula>
    </cfRule>
  </conditionalFormatting>
  <conditionalFormatting sqref="A212">
    <cfRule type="expression" dxfId="67" priority="68">
      <formula>AND(XFB204=869)</formula>
    </cfRule>
  </conditionalFormatting>
  <conditionalFormatting sqref="A212">
    <cfRule type="expression" dxfId="66" priority="67">
      <formula>AND(XFB205=869)</formula>
    </cfRule>
  </conditionalFormatting>
  <conditionalFormatting sqref="A212">
    <cfRule type="expression" dxfId="65" priority="66">
      <formula>AND(XFB206=869)</formula>
    </cfRule>
  </conditionalFormatting>
  <conditionalFormatting sqref="A212">
    <cfRule type="expression" dxfId="64" priority="65">
      <formula>AND(XFB207=869)</formula>
    </cfRule>
  </conditionalFormatting>
  <conditionalFormatting sqref="A212">
    <cfRule type="expression" dxfId="63" priority="64">
      <formula>AND(XFB208=869)</formula>
    </cfRule>
  </conditionalFormatting>
  <conditionalFormatting sqref="A212">
    <cfRule type="expression" dxfId="62" priority="63">
      <formula>AND(XFB209=869)</formula>
    </cfRule>
  </conditionalFormatting>
  <conditionalFormatting sqref="A212">
    <cfRule type="expression" dxfId="61" priority="62">
      <formula>AND(XFB211=869)</formula>
    </cfRule>
  </conditionalFormatting>
  <conditionalFormatting sqref="A212">
    <cfRule type="expression" dxfId="60" priority="61">
      <formula>AND(XFB212=869)</formula>
    </cfRule>
  </conditionalFormatting>
  <conditionalFormatting sqref="A223:A225">
    <cfRule type="expression" dxfId="59" priority="60">
      <formula>AND(XFB199=869)</formula>
    </cfRule>
  </conditionalFormatting>
  <conditionalFormatting sqref="A222 A211:A212">
    <cfRule type="expression" dxfId="58" priority="59">
      <formula>AND(XFB189=869)</formula>
    </cfRule>
  </conditionalFormatting>
  <conditionalFormatting sqref="A222">
    <cfRule type="expression" dxfId="57" priority="58">
      <formula>AND(XFB201=869)</formula>
    </cfRule>
  </conditionalFormatting>
  <conditionalFormatting sqref="A222">
    <cfRule type="expression" dxfId="56" priority="57">
      <formula>AND(XFB202=869)</formula>
    </cfRule>
  </conditionalFormatting>
  <conditionalFormatting sqref="A222">
    <cfRule type="expression" dxfId="55" priority="56">
      <formula>AND(XFB203=869)</formula>
    </cfRule>
  </conditionalFormatting>
  <conditionalFormatting sqref="A222">
    <cfRule type="expression" dxfId="54" priority="55">
      <formula>AND(XFB204=869)</formula>
    </cfRule>
  </conditionalFormatting>
  <conditionalFormatting sqref="A222">
    <cfRule type="expression" dxfId="53" priority="54">
      <formula>AND(XFB205=869)</formula>
    </cfRule>
  </conditionalFormatting>
  <conditionalFormatting sqref="A222">
    <cfRule type="expression" dxfId="52" priority="53">
      <formula>AND(XFB206=869)</formula>
    </cfRule>
  </conditionalFormatting>
  <conditionalFormatting sqref="A222">
    <cfRule type="expression" dxfId="51" priority="52">
      <formula>AND(XFB207=869)</formula>
    </cfRule>
  </conditionalFormatting>
  <conditionalFormatting sqref="A222">
    <cfRule type="expression" dxfId="50" priority="51">
      <formula>AND(XFB208=869)</formula>
    </cfRule>
  </conditionalFormatting>
  <conditionalFormatting sqref="A222">
    <cfRule type="expression" dxfId="49" priority="50">
      <formula>AND(XFB209=869)</formula>
    </cfRule>
  </conditionalFormatting>
  <conditionalFormatting sqref="A222">
    <cfRule type="expression" dxfId="48" priority="49">
      <formula>AND(XFB211=869)</formula>
    </cfRule>
  </conditionalFormatting>
  <conditionalFormatting sqref="A222">
    <cfRule type="expression" dxfId="47" priority="48">
      <formula>AND(XFB212=869)</formula>
    </cfRule>
  </conditionalFormatting>
  <conditionalFormatting sqref="A222">
    <cfRule type="expression" dxfId="46" priority="47">
      <formula>AND(XFB213=869)</formula>
    </cfRule>
  </conditionalFormatting>
  <conditionalFormatting sqref="A222">
    <cfRule type="expression" dxfId="45" priority="46">
      <formula>AND(XFB214=869)</formula>
    </cfRule>
  </conditionalFormatting>
  <conditionalFormatting sqref="A222">
    <cfRule type="expression" dxfId="44" priority="45">
      <formula>AND(XFB215=869)</formula>
    </cfRule>
  </conditionalFormatting>
  <conditionalFormatting sqref="A222">
    <cfRule type="expression" dxfId="43" priority="44">
      <formula>AND(XFB216=869)</formula>
    </cfRule>
  </conditionalFormatting>
  <conditionalFormatting sqref="A222">
    <cfRule type="expression" dxfId="42" priority="43">
      <formula>AND(XFB217=869)</formula>
    </cfRule>
  </conditionalFormatting>
  <conditionalFormatting sqref="A222">
    <cfRule type="expression" dxfId="41" priority="42">
      <formula>AND(XFB218=869)</formula>
    </cfRule>
  </conditionalFormatting>
  <conditionalFormatting sqref="A222">
    <cfRule type="expression" dxfId="40" priority="41">
      <formula>AND(XFB219=869)</formula>
    </cfRule>
  </conditionalFormatting>
  <conditionalFormatting sqref="A222">
    <cfRule type="expression" dxfId="39" priority="40">
      <formula>AND(XFB220=869)</formula>
    </cfRule>
  </conditionalFormatting>
  <conditionalFormatting sqref="A222">
    <cfRule type="expression" dxfId="38" priority="39">
      <formula>AND(XFB221=869)</formula>
    </cfRule>
  </conditionalFormatting>
  <conditionalFormatting sqref="A222">
    <cfRule type="expression" dxfId="37" priority="38">
      <formula>AND(XFB222=869)</formula>
    </cfRule>
  </conditionalFormatting>
  <conditionalFormatting sqref="A226:A229 A231">
    <cfRule type="expression" dxfId="36" priority="37">
      <formula>AND(XFB201=869)</formula>
    </cfRule>
  </conditionalFormatting>
  <conditionalFormatting sqref="A225">
    <cfRule type="expression" dxfId="35" priority="36">
      <formula>AND(XFB202=869)</formula>
    </cfRule>
  </conditionalFormatting>
  <conditionalFormatting sqref="A225">
    <cfRule type="expression" dxfId="34" priority="35">
      <formula>AND(XFB203=869)</formula>
    </cfRule>
  </conditionalFormatting>
  <conditionalFormatting sqref="A225">
    <cfRule type="expression" dxfId="33" priority="34">
      <formula>AND(XFB204=869)</formula>
    </cfRule>
  </conditionalFormatting>
  <conditionalFormatting sqref="A225">
    <cfRule type="expression" dxfId="32" priority="33">
      <formula>AND(XFB205=869)</formula>
    </cfRule>
  </conditionalFormatting>
  <conditionalFormatting sqref="A225">
    <cfRule type="expression" dxfId="31" priority="32">
      <formula>AND(XFB206=869)</formula>
    </cfRule>
  </conditionalFormatting>
  <conditionalFormatting sqref="A225">
    <cfRule type="expression" dxfId="30" priority="31">
      <formula>AND(XFB207=869)</formula>
    </cfRule>
  </conditionalFormatting>
  <conditionalFormatting sqref="A225">
    <cfRule type="expression" dxfId="29" priority="30">
      <formula>AND(XFB208=869)</formula>
    </cfRule>
  </conditionalFormatting>
  <conditionalFormatting sqref="A225">
    <cfRule type="expression" dxfId="28" priority="29">
      <formula>AND(XFB209=869)</formula>
    </cfRule>
  </conditionalFormatting>
  <conditionalFormatting sqref="A225">
    <cfRule type="expression" dxfId="27" priority="28">
      <formula>AND(XFB211=869)</formula>
    </cfRule>
  </conditionalFormatting>
  <conditionalFormatting sqref="A225">
    <cfRule type="expression" dxfId="26" priority="27">
      <formula>AND(XFB212=869)</formula>
    </cfRule>
  </conditionalFormatting>
  <conditionalFormatting sqref="A225">
    <cfRule type="expression" dxfId="25" priority="26">
      <formula>AND(XFB213=869)</formula>
    </cfRule>
  </conditionalFormatting>
  <conditionalFormatting sqref="A225">
    <cfRule type="expression" dxfId="24" priority="25">
      <formula>AND(XFB214=869)</formula>
    </cfRule>
  </conditionalFormatting>
  <conditionalFormatting sqref="A225">
    <cfRule type="expression" dxfId="23" priority="24">
      <formula>AND(XFB215=869)</formula>
    </cfRule>
  </conditionalFormatting>
  <conditionalFormatting sqref="A225">
    <cfRule type="expression" dxfId="22" priority="23">
      <formula>AND(XFB216=869)</formula>
    </cfRule>
  </conditionalFormatting>
  <conditionalFormatting sqref="A225">
    <cfRule type="expression" dxfId="21" priority="22">
      <formula>AND(XFB217=869)</formula>
    </cfRule>
  </conditionalFormatting>
  <conditionalFormatting sqref="A225">
    <cfRule type="expression" dxfId="20" priority="21">
      <formula>AND(XFB218=869)</formula>
    </cfRule>
  </conditionalFormatting>
  <conditionalFormatting sqref="A225">
    <cfRule type="expression" dxfId="19" priority="20">
      <formula>AND(XFB219=869)</formula>
    </cfRule>
  </conditionalFormatting>
  <conditionalFormatting sqref="A225">
    <cfRule type="expression" dxfId="18" priority="19">
      <formula>AND(XFB220=869)</formula>
    </cfRule>
  </conditionalFormatting>
  <conditionalFormatting sqref="A225">
    <cfRule type="expression" dxfId="17" priority="18">
      <formula>AND(XFB221=869)</formula>
    </cfRule>
  </conditionalFormatting>
  <conditionalFormatting sqref="A225">
    <cfRule type="expression" dxfId="16" priority="17">
      <formula>AND(XFB222=869)</formula>
    </cfRule>
  </conditionalFormatting>
  <conditionalFormatting sqref="A225">
    <cfRule type="expression" dxfId="15" priority="16">
      <formula>AND(XFB223=869)</formula>
    </cfRule>
  </conditionalFormatting>
  <conditionalFormatting sqref="A225">
    <cfRule type="expression" dxfId="14" priority="15">
      <formula>AND(XFB224=869)</formula>
    </cfRule>
  </conditionalFormatting>
  <conditionalFormatting sqref="A225">
    <cfRule type="expression" dxfId="13" priority="14">
      <formula>AND(XFB225=869)</formula>
    </cfRule>
  </conditionalFormatting>
  <conditionalFormatting sqref="A91:A92">
    <cfRule type="expression" dxfId="12" priority="13">
      <formula>AND(XFB120=869)</formula>
    </cfRule>
  </conditionalFormatting>
  <conditionalFormatting sqref="A93:A95">
    <cfRule type="expression" dxfId="11" priority="12">
      <formula>AND(XFB121=869)</formula>
    </cfRule>
  </conditionalFormatting>
  <conditionalFormatting sqref="A132">
    <cfRule type="expression" dxfId="10" priority="11">
      <formula>AND(XFB91=869)</formula>
    </cfRule>
  </conditionalFormatting>
  <conditionalFormatting sqref="A132">
    <cfRule type="expression" dxfId="9" priority="10">
      <formula>AND(XFB92=869)</formula>
    </cfRule>
  </conditionalFormatting>
  <conditionalFormatting sqref="A132">
    <cfRule type="expression" dxfId="8" priority="9">
      <formula>AND(XFB93=869)</formula>
    </cfRule>
  </conditionalFormatting>
  <conditionalFormatting sqref="A132">
    <cfRule type="expression" dxfId="7" priority="8">
      <formula>AND(XFB94=869)</formula>
    </cfRule>
  </conditionalFormatting>
  <conditionalFormatting sqref="A132">
    <cfRule type="expression" dxfId="6" priority="7">
      <formula>AND(XFB95=869)</formula>
    </cfRule>
  </conditionalFormatting>
  <conditionalFormatting sqref="A140:A144">
    <cfRule type="expression" dxfId="5" priority="6">
      <formula>AND(XFB91=869)</formula>
    </cfRule>
  </conditionalFormatting>
  <conditionalFormatting sqref="A138">
    <cfRule type="expression" dxfId="4" priority="5">
      <formula>AND(XFB91=869)</formula>
    </cfRule>
  </conditionalFormatting>
  <conditionalFormatting sqref="A138">
    <cfRule type="expression" dxfId="3" priority="4">
      <formula>AND(XFB92=869)</formula>
    </cfRule>
  </conditionalFormatting>
  <conditionalFormatting sqref="A138">
    <cfRule type="expression" dxfId="2" priority="3">
      <formula>AND(XFB93=869)</formula>
    </cfRule>
  </conditionalFormatting>
  <conditionalFormatting sqref="A138">
    <cfRule type="expression" dxfId="1" priority="2">
      <formula>AND(XFB94=869)</formula>
    </cfRule>
  </conditionalFormatting>
  <conditionalFormatting sqref="A138">
    <cfRule type="expression" dxfId="0" priority="1">
      <formula>AND(XFB95=869)</formula>
    </cfRule>
  </conditionalFormatting>
  <dataValidations count="2">
    <dataValidation type="list" allowBlank="1" showInputMessage="1" showErrorMessage="1" sqref="A234">
      <formula1>Області</formula1>
    </dataValidation>
    <dataValidation type="list" allowBlank="1" showInputMessage="1" showErrorMessage="1" sqref="A236:B236">
      <formula1>INDIRECT(SUBSTITUTE($A$234," ","_"))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topLeftCell="A21" workbookViewId="0">
      <selection activeCell="A26" sqref="A26"/>
    </sheetView>
  </sheetViews>
  <sheetFormatPr defaultRowHeight="15" x14ac:dyDescent="0.25"/>
  <cols>
    <col min="1" max="1" width="56.7109375" customWidth="1"/>
  </cols>
  <sheetData>
    <row r="1" spans="1:1" x14ac:dyDescent="0.25">
      <c r="A1" t="str">
        <f>'Тарифи ЦО'!A3</f>
        <v>Вінницька</v>
      </c>
    </row>
    <row r="2" spans="1:1" x14ac:dyDescent="0.25">
      <c r="A2" t="str">
        <f>'Тарифи ЦО'!A10</f>
        <v>Волинська</v>
      </c>
    </row>
    <row r="3" spans="1:1" x14ac:dyDescent="0.25">
      <c r="A3" t="str">
        <f>'Тарифи ЦО'!A17</f>
        <v>Дніпропетровська</v>
      </c>
    </row>
    <row r="4" spans="1:1" x14ac:dyDescent="0.25">
      <c r="A4" t="str">
        <f>'Тарифи ЦО'!A38</f>
        <v>Донецька</v>
      </c>
    </row>
    <row r="5" spans="1:1" x14ac:dyDescent="0.25">
      <c r="A5" t="str">
        <f>'Тарифи ЦО'!A58</f>
        <v>Житомирська</v>
      </c>
    </row>
    <row r="6" spans="1:1" x14ac:dyDescent="0.25">
      <c r="A6" t="str">
        <f>'Тарифи ЦО'!A65</f>
        <v>Запорізька</v>
      </c>
    </row>
    <row r="7" spans="1:1" x14ac:dyDescent="0.25">
      <c r="A7" t="str">
        <f>'Тарифи ЦО'!A73</f>
        <v>Івано_Франківська</v>
      </c>
    </row>
    <row r="8" spans="1:1" x14ac:dyDescent="0.25">
      <c r="A8" t="str">
        <f>'Тарифи ЦО'!A78</f>
        <v>Київська</v>
      </c>
    </row>
    <row r="9" spans="1:1" x14ac:dyDescent="0.25">
      <c r="A9" t="str">
        <f>'Тарифи ЦО'!A91</f>
        <v>Київ</v>
      </c>
    </row>
    <row r="10" spans="1:1" x14ac:dyDescent="0.25">
      <c r="A10" t="str">
        <f>'Тарифи ЦО'!A96</f>
        <v>Кіровоградська</v>
      </c>
    </row>
    <row r="11" spans="1:1" x14ac:dyDescent="0.25">
      <c r="A11" t="str">
        <f>'Тарифи ЦО'!A103</f>
        <v>Луганська</v>
      </c>
    </row>
    <row r="12" spans="1:1" x14ac:dyDescent="0.25">
      <c r="A12" t="str">
        <f>'Тарифи ЦО'!A115</f>
        <v>Львiвська</v>
      </c>
    </row>
    <row r="13" spans="1:1" x14ac:dyDescent="0.25">
      <c r="A13" t="str">
        <f>'Тарифи ЦО'!A131</f>
        <v>Миколаївська</v>
      </c>
    </row>
    <row r="14" spans="1:1" x14ac:dyDescent="0.25">
      <c r="A14" t="str">
        <f>'Тарифи ЦО'!A137</f>
        <v>Одеська</v>
      </c>
    </row>
    <row r="15" spans="1:1" x14ac:dyDescent="0.25">
      <c r="A15" t="str">
        <f>'Тарифи ЦО'!A146</f>
        <v>Полтавська</v>
      </c>
    </row>
    <row r="16" spans="1:1" x14ac:dyDescent="0.25">
      <c r="A16" t="str">
        <f>'Тарифи ЦО'!A155</f>
        <v>Рівненська</v>
      </c>
    </row>
    <row r="17" spans="1:1" x14ac:dyDescent="0.25">
      <c r="A17" t="str">
        <f>'Тарифи ЦО'!A162</f>
        <v>Сумська</v>
      </c>
    </row>
    <row r="18" spans="1:1" x14ac:dyDescent="0.25">
      <c r="A18" t="str">
        <f>'Тарифи ЦО'!A175</f>
        <v>Тернопільська</v>
      </c>
    </row>
    <row r="19" spans="1:1" x14ac:dyDescent="0.25">
      <c r="A19" t="str">
        <f>'Тарифи ЦО'!A179</f>
        <v>Харківська</v>
      </c>
    </row>
    <row r="20" spans="1:1" x14ac:dyDescent="0.25">
      <c r="A20" t="str">
        <f>'Тарифи ЦО'!A195</f>
        <v>Херсонська</v>
      </c>
    </row>
    <row r="21" spans="1:1" x14ac:dyDescent="0.25">
      <c r="A21" t="str">
        <f>'Тарифи ЦО'!A201</f>
        <v>Хмельницька</v>
      </c>
    </row>
    <row r="22" spans="1:1" x14ac:dyDescent="0.25">
      <c r="A22" t="str">
        <f>'Тарифи ЦО'!A211</f>
        <v>Черкаська</v>
      </c>
    </row>
    <row r="23" spans="1:1" x14ac:dyDescent="0.25">
      <c r="A23" t="str">
        <f>'Тарифи ЦО'!A221</f>
        <v>Чернівецька</v>
      </c>
    </row>
    <row r="24" spans="1:1" x14ac:dyDescent="0.25">
      <c r="A24" t="str">
        <f>'Тарифи ЦО'!A224</f>
        <v>Чернігівська</v>
      </c>
    </row>
    <row r="25" spans="1:1" x14ac:dyDescent="0.25">
      <c r="A25" t="s">
        <v>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zoomScale="80" zoomScaleNormal="80" workbookViewId="0">
      <selection activeCell="D11" sqref="D11"/>
    </sheetView>
  </sheetViews>
  <sheetFormatPr defaultRowHeight="15" x14ac:dyDescent="0.25"/>
  <cols>
    <col min="1" max="1" width="24.42578125" customWidth="1"/>
    <col min="2" max="2" width="25.5703125" customWidth="1"/>
    <col min="3" max="3" width="58" customWidth="1"/>
    <col min="4" max="4" width="21.28515625" customWidth="1"/>
    <col min="5" max="5" width="23.5703125" customWidth="1"/>
    <col min="6" max="6" width="61" customWidth="1"/>
    <col min="7" max="7" width="23.85546875" customWidth="1"/>
    <col min="8" max="8" width="23.5703125" customWidth="1"/>
    <col min="9" max="9" width="15.85546875" customWidth="1"/>
    <col min="10" max="10" width="14.42578125" customWidth="1"/>
    <col min="11" max="11" width="15" customWidth="1"/>
    <col min="13" max="13" width="31" customWidth="1"/>
    <col min="14" max="14" width="62" customWidth="1"/>
  </cols>
  <sheetData>
    <row r="1" spans="1:13" x14ac:dyDescent="0.25">
      <c r="B1" s="53" t="s">
        <v>177</v>
      </c>
      <c r="C1" s="59" t="s">
        <v>78</v>
      </c>
      <c r="D1" s="59" t="s">
        <v>77</v>
      </c>
      <c r="E1" s="59" t="s">
        <v>75</v>
      </c>
      <c r="F1" s="59" t="s">
        <v>176</v>
      </c>
      <c r="G1" s="59" t="s">
        <v>175</v>
      </c>
      <c r="H1" s="73">
        <v>3</v>
      </c>
    </row>
    <row r="2" spans="1:13" x14ac:dyDescent="0.25">
      <c r="A2">
        <v>1</v>
      </c>
      <c r="B2" s="74" t="s">
        <v>174</v>
      </c>
      <c r="C2" s="59" t="s">
        <v>173</v>
      </c>
      <c r="D2" s="59" t="s">
        <v>172</v>
      </c>
      <c r="E2" s="59" t="s">
        <v>143</v>
      </c>
      <c r="F2" s="59" t="s">
        <v>171</v>
      </c>
      <c r="G2" s="59">
        <v>4</v>
      </c>
      <c r="H2" s="73"/>
    </row>
    <row r="3" spans="1:13" x14ac:dyDescent="0.25">
      <c r="A3">
        <v>2</v>
      </c>
      <c r="B3" s="74" t="s">
        <v>170</v>
      </c>
      <c r="C3" s="59" t="s">
        <v>169</v>
      </c>
      <c r="D3" s="59" t="s">
        <v>168</v>
      </c>
      <c r="E3" s="59" t="s">
        <v>143</v>
      </c>
      <c r="F3" s="75" t="s">
        <v>167</v>
      </c>
      <c r="G3" s="59">
        <v>3.5</v>
      </c>
      <c r="H3" s="73"/>
    </row>
    <row r="4" spans="1:13" x14ac:dyDescent="0.25">
      <c r="A4">
        <v>3</v>
      </c>
      <c r="B4" s="74" t="s">
        <v>166</v>
      </c>
      <c r="C4" s="59" t="s">
        <v>165</v>
      </c>
      <c r="D4" s="59" t="s">
        <v>164</v>
      </c>
      <c r="E4" s="59" t="s">
        <v>148</v>
      </c>
      <c r="F4" s="59" t="s">
        <v>155</v>
      </c>
      <c r="G4" s="59">
        <v>3</v>
      </c>
      <c r="H4" s="73"/>
    </row>
    <row r="5" spans="1:13" ht="17.25" customHeight="1" x14ac:dyDescent="0.25">
      <c r="A5">
        <v>4</v>
      </c>
      <c r="B5" s="74" t="s">
        <v>163</v>
      </c>
      <c r="C5" s="59" t="s">
        <v>160</v>
      </c>
      <c r="D5" s="59" t="s">
        <v>162</v>
      </c>
      <c r="E5" s="59" t="s">
        <v>148</v>
      </c>
      <c r="F5" s="59" t="s">
        <v>147</v>
      </c>
      <c r="G5" s="59">
        <v>3</v>
      </c>
      <c r="H5" s="73"/>
    </row>
    <row r="6" spans="1:13" x14ac:dyDescent="0.25">
      <c r="A6">
        <v>5</v>
      </c>
      <c r="B6" s="74" t="s">
        <v>161</v>
      </c>
      <c r="C6" s="59" t="s">
        <v>160</v>
      </c>
      <c r="D6" s="59" t="s">
        <v>159</v>
      </c>
      <c r="E6" s="59" t="s">
        <v>148</v>
      </c>
      <c r="F6" s="59" t="s">
        <v>147</v>
      </c>
      <c r="G6" s="59">
        <v>3</v>
      </c>
      <c r="H6" s="73"/>
    </row>
    <row r="7" spans="1:13" x14ac:dyDescent="0.25">
      <c r="A7">
        <v>6</v>
      </c>
      <c r="B7" s="74" t="s">
        <v>158</v>
      </c>
      <c r="C7" s="59" t="s">
        <v>157</v>
      </c>
      <c r="D7" s="59" t="s">
        <v>156</v>
      </c>
      <c r="E7" s="59" t="s">
        <v>143</v>
      </c>
      <c r="F7" s="59" t="s">
        <v>155</v>
      </c>
      <c r="G7" s="59">
        <v>3</v>
      </c>
      <c r="H7" s="73"/>
    </row>
    <row r="8" spans="1:13" ht="25.5" x14ac:dyDescent="0.25">
      <c r="A8">
        <v>7</v>
      </c>
      <c r="B8" s="74" t="s">
        <v>154</v>
      </c>
      <c r="C8" s="59" t="s">
        <v>153</v>
      </c>
      <c r="D8" s="59" t="s">
        <v>152</v>
      </c>
      <c r="E8" s="59" t="s">
        <v>143</v>
      </c>
      <c r="F8" s="59" t="s">
        <v>147</v>
      </c>
      <c r="G8" s="59">
        <v>3</v>
      </c>
      <c r="H8" s="73"/>
    </row>
    <row r="9" spans="1:13" x14ac:dyDescent="0.25">
      <c r="A9">
        <v>8</v>
      </c>
      <c r="B9" s="74" t="s">
        <v>151</v>
      </c>
      <c r="C9" s="59" t="s">
        <v>150</v>
      </c>
      <c r="D9" s="59" t="s">
        <v>149</v>
      </c>
      <c r="E9" s="59" t="s">
        <v>148</v>
      </c>
      <c r="F9" s="59" t="s">
        <v>147</v>
      </c>
      <c r="G9" s="59">
        <v>3</v>
      </c>
      <c r="H9" s="73"/>
    </row>
    <row r="10" spans="1:13" ht="25.5" x14ac:dyDescent="0.25">
      <c r="A10">
        <v>9</v>
      </c>
      <c r="B10" s="74" t="s">
        <v>146</v>
      </c>
      <c r="C10" s="59" t="s">
        <v>145</v>
      </c>
      <c r="D10" s="59" t="s">
        <v>144</v>
      </c>
      <c r="E10" s="59" t="s">
        <v>143</v>
      </c>
      <c r="F10" s="59" t="s">
        <v>142</v>
      </c>
      <c r="G10" s="59">
        <v>3</v>
      </c>
      <c r="H10" s="73"/>
    </row>
    <row r="11" spans="1:13" s="134" customFormat="1" x14ac:dyDescent="0.25">
      <c r="B11" s="134">
        <v>1</v>
      </c>
      <c r="C11" s="158" t="s">
        <v>141</v>
      </c>
      <c r="D11" s="134">
        <v>1</v>
      </c>
    </row>
    <row r="12" spans="1:13" s="134" customFormat="1" x14ac:dyDescent="0.25">
      <c r="B12" s="134">
        <v>2</v>
      </c>
      <c r="C12" s="158" t="s">
        <v>389</v>
      </c>
    </row>
    <row r="13" spans="1:13" x14ac:dyDescent="0.25">
      <c r="C13" s="268" t="s">
        <v>615</v>
      </c>
    </row>
    <row r="15" spans="1:13" x14ac:dyDescent="0.25">
      <c r="A15" t="s">
        <v>77</v>
      </c>
      <c r="C15" s="71" t="s">
        <v>140</v>
      </c>
      <c r="D15" s="72" t="s">
        <v>139</v>
      </c>
      <c r="E15" s="284" t="s">
        <v>138</v>
      </c>
      <c r="F15" s="284"/>
      <c r="G15" s="71" t="s">
        <v>97</v>
      </c>
      <c r="H15" s="70" t="s">
        <v>137</v>
      </c>
      <c r="I15" s="70" t="s">
        <v>136</v>
      </c>
      <c r="J15" s="70" t="s">
        <v>135</v>
      </c>
      <c r="K15" s="70" t="s">
        <v>134</v>
      </c>
      <c r="M15" s="70" t="s">
        <v>133</v>
      </c>
    </row>
    <row r="16" spans="1:13" x14ac:dyDescent="0.25">
      <c r="A16">
        <v>1</v>
      </c>
      <c r="B16">
        <v>1</v>
      </c>
      <c r="C16" s="58" t="s">
        <v>132</v>
      </c>
      <c r="D16" s="69" t="s">
        <v>132</v>
      </c>
      <c r="E16" s="58" t="s">
        <v>132</v>
      </c>
      <c r="F16" s="58" t="s">
        <v>132</v>
      </c>
      <c r="G16" s="58" t="s">
        <v>132</v>
      </c>
      <c r="H16" s="285"/>
      <c r="I16" s="285"/>
      <c r="J16" s="285"/>
      <c r="K16" s="285"/>
    </row>
    <row r="17" spans="1:14" x14ac:dyDescent="0.25">
      <c r="A17">
        <v>2</v>
      </c>
      <c r="B17">
        <v>2</v>
      </c>
      <c r="C17" s="46" t="s">
        <v>59</v>
      </c>
      <c r="D17" s="58">
        <v>11</v>
      </c>
      <c r="E17" s="58">
        <f t="shared" ref="E17:E25" si="0">IF(F17,1,0)</f>
        <v>1</v>
      </c>
      <c r="F17" s="67" t="b">
        <f>'Калькулятор новий'!G23</f>
        <v>1</v>
      </c>
      <c r="G17" s="50">
        <f>Розрахунки!$G$3*(D17/100)*E17</f>
        <v>148.12082999999998</v>
      </c>
      <c r="H17" s="285"/>
      <c r="I17" s="285"/>
      <c r="J17" s="285"/>
      <c r="K17" s="285"/>
      <c r="M17" s="46">
        <f>IF(F17,5,0)</f>
        <v>5</v>
      </c>
      <c r="N17" s="46" t="s">
        <v>59</v>
      </c>
    </row>
    <row r="18" spans="1:14" x14ac:dyDescent="0.25">
      <c r="A18">
        <v>3</v>
      </c>
      <c r="B18">
        <v>3</v>
      </c>
      <c r="C18" s="46" t="s">
        <v>58</v>
      </c>
      <c r="D18" s="58">
        <v>6</v>
      </c>
      <c r="E18" s="58">
        <f t="shared" si="0"/>
        <v>1</v>
      </c>
      <c r="F18" s="67" t="b">
        <f>'Калькулятор новий'!G24</f>
        <v>1</v>
      </c>
      <c r="G18" s="50">
        <f>Розрахунки!$G$3*(D18/100)*E18</f>
        <v>80.793179999999992</v>
      </c>
      <c r="H18" s="285"/>
      <c r="I18" s="285"/>
      <c r="J18" s="285"/>
      <c r="K18" s="285"/>
      <c r="M18" s="46">
        <f>IF(F18,3,0)</f>
        <v>3</v>
      </c>
      <c r="N18" s="46" t="s">
        <v>58</v>
      </c>
    </row>
    <row r="19" spans="1:14" x14ac:dyDescent="0.25">
      <c r="A19">
        <v>4</v>
      </c>
      <c r="B19">
        <v>4</v>
      </c>
      <c r="C19" s="47" t="s">
        <v>57</v>
      </c>
      <c r="D19" s="58">
        <v>18</v>
      </c>
      <c r="E19" s="58">
        <f t="shared" si="0"/>
        <v>1</v>
      </c>
      <c r="F19" s="67" t="b">
        <f>'Калькулятор новий'!G25</f>
        <v>1</v>
      </c>
      <c r="G19" s="50"/>
      <c r="H19" s="285"/>
      <c r="I19" s="285"/>
      <c r="J19" s="285"/>
      <c r="K19" s="285"/>
      <c r="M19" s="46">
        <f>IF(F19,1,0)</f>
        <v>1</v>
      </c>
      <c r="N19" s="47" t="s">
        <v>57</v>
      </c>
    </row>
    <row r="20" spans="1:14" x14ac:dyDescent="0.25">
      <c r="A20">
        <v>5</v>
      </c>
      <c r="B20">
        <v>5</v>
      </c>
      <c r="C20" s="47" t="s">
        <v>56</v>
      </c>
      <c r="D20" s="68">
        <v>3</v>
      </c>
      <c r="E20" s="58">
        <f t="shared" si="0"/>
        <v>1</v>
      </c>
      <c r="F20" s="67" t="b">
        <f>'Калькулятор новий'!G26</f>
        <v>1</v>
      </c>
      <c r="G20" s="50">
        <f>Розрахунки!$G$3*(D20/100)*E20</f>
        <v>40.396589999999996</v>
      </c>
      <c r="H20" s="285"/>
      <c r="I20" s="285"/>
      <c r="J20" s="285"/>
      <c r="K20" s="285"/>
      <c r="M20" s="46">
        <f>IF(F20,2,0)</f>
        <v>2</v>
      </c>
      <c r="N20" s="47" t="s">
        <v>56</v>
      </c>
    </row>
    <row r="21" spans="1:14" x14ac:dyDescent="0.25">
      <c r="A21">
        <v>6</v>
      </c>
      <c r="B21">
        <v>6</v>
      </c>
      <c r="C21" s="47" t="s">
        <v>55</v>
      </c>
      <c r="D21" s="68">
        <v>22</v>
      </c>
      <c r="E21" s="58">
        <f t="shared" si="0"/>
        <v>1</v>
      </c>
      <c r="F21" s="67" t="b">
        <f>'Калькулятор новий'!G27</f>
        <v>1</v>
      </c>
      <c r="G21" s="50">
        <f>Розрахунки!$G$3*(D21/100)*E21</f>
        <v>296.24165999999997</v>
      </c>
      <c r="H21" s="285"/>
      <c r="I21" s="285"/>
      <c r="J21" s="285"/>
      <c r="K21" s="285"/>
      <c r="M21" s="46">
        <f>IF(F21,5,0)</f>
        <v>5</v>
      </c>
      <c r="N21" s="47" t="s">
        <v>55</v>
      </c>
    </row>
    <row r="22" spans="1:14" x14ac:dyDescent="0.25">
      <c r="A22">
        <v>7</v>
      </c>
      <c r="B22">
        <v>7</v>
      </c>
      <c r="C22" s="47" t="s">
        <v>54</v>
      </c>
      <c r="D22" s="68">
        <v>4</v>
      </c>
      <c r="E22" s="58">
        <f t="shared" si="0"/>
        <v>1</v>
      </c>
      <c r="F22" s="67" t="b">
        <f>'Калькулятор новий'!G28</f>
        <v>1</v>
      </c>
      <c r="G22" s="50">
        <f>Розрахунки!$G$3*(D22/100)*E22</f>
        <v>53.862119999999997</v>
      </c>
      <c r="H22" s="285"/>
      <c r="I22" s="285"/>
      <c r="J22" s="285"/>
      <c r="K22" s="285"/>
      <c r="M22" s="46">
        <f>IF(F22,3,0)</f>
        <v>3</v>
      </c>
      <c r="N22" s="47" t="s">
        <v>54</v>
      </c>
    </row>
    <row r="23" spans="1:14" x14ac:dyDescent="0.25">
      <c r="A23">
        <v>8</v>
      </c>
      <c r="B23">
        <v>8</v>
      </c>
      <c r="C23" s="47" t="s">
        <v>53</v>
      </c>
      <c r="D23" s="68">
        <v>7</v>
      </c>
      <c r="E23" s="58">
        <f t="shared" si="0"/>
        <v>1</v>
      </c>
      <c r="F23" s="67" t="b">
        <f>'Калькулятор новий'!G29</f>
        <v>1</v>
      </c>
      <c r="G23" s="50">
        <f>Розрахунки!$G$3*(D23/100)*E23</f>
        <v>94.258710000000008</v>
      </c>
      <c r="H23" s="285"/>
      <c r="I23" s="285"/>
      <c r="J23" s="285"/>
      <c r="K23" s="285"/>
      <c r="M23" s="46">
        <f>IF(F23,3,0)</f>
        <v>3</v>
      </c>
      <c r="N23" s="47" t="s">
        <v>53</v>
      </c>
    </row>
    <row r="24" spans="1:14" x14ac:dyDescent="0.25">
      <c r="A24">
        <v>9</v>
      </c>
      <c r="B24">
        <v>9</v>
      </c>
      <c r="C24" s="47" t="s">
        <v>52</v>
      </c>
      <c r="D24" s="68">
        <v>60</v>
      </c>
      <c r="E24" s="58">
        <f t="shared" si="0"/>
        <v>1</v>
      </c>
      <c r="F24" s="67" t="b">
        <f>'Калькулятор новий'!G30</f>
        <v>1</v>
      </c>
      <c r="G24" s="50">
        <f>D31-D36</f>
        <v>28268.811999999991</v>
      </c>
      <c r="H24" s="50">
        <f>G17+G18+G20+G21+G22+G23+G25</f>
        <v>727.13861999999995</v>
      </c>
      <c r="I24" s="50">
        <f>G24</f>
        <v>28268.811999999991</v>
      </c>
      <c r="J24" s="46"/>
      <c r="K24" s="46"/>
      <c r="M24" s="46">
        <f>IF(F24,1,0)</f>
        <v>1</v>
      </c>
      <c r="N24" s="47" t="s">
        <v>52</v>
      </c>
    </row>
    <row r="25" spans="1:14" x14ac:dyDescent="0.25">
      <c r="A25">
        <v>10</v>
      </c>
      <c r="B25">
        <v>10</v>
      </c>
      <c r="C25" s="66" t="s">
        <v>60</v>
      </c>
      <c r="D25" s="68">
        <v>1</v>
      </c>
      <c r="E25" s="58">
        <f t="shared" si="0"/>
        <v>1</v>
      </c>
      <c r="F25" s="67" t="b">
        <f>'Калькулятор новий'!G22</f>
        <v>1</v>
      </c>
      <c r="G25" s="62">
        <f>Розрахунки!$G$3*(D25/100)*E25</f>
        <v>13.465529999999999</v>
      </c>
      <c r="H25" s="46">
        <f>(ОСББ!H24/Розрахунки!G3)</f>
        <v>0.54</v>
      </c>
      <c r="M25" s="46">
        <f>IF(F25,0,0)</f>
        <v>0</v>
      </c>
      <c r="N25" s="66" t="s">
        <v>60</v>
      </c>
    </row>
    <row r="26" spans="1:14" x14ac:dyDescent="0.25">
      <c r="C26" s="66"/>
      <c r="D26" s="65"/>
      <c r="E26" s="64"/>
      <c r="F26" s="46"/>
      <c r="G26" s="62"/>
      <c r="H26" s="82">
        <f>(SUMPRODUCT(D17:D18,E17:E18)+SUMPRODUCT(D20:D23,E20:E23)+(D25*E25))/100</f>
        <v>0.54</v>
      </c>
      <c r="L26" s="53" t="s">
        <v>131</v>
      </c>
      <c r="M26">
        <f>SUM(M17:M25)</f>
        <v>23</v>
      </c>
    </row>
    <row r="27" spans="1:14" x14ac:dyDescent="0.25">
      <c r="A27">
        <v>11</v>
      </c>
      <c r="C27" s="63" t="s">
        <v>130</v>
      </c>
      <c r="F27" s="53" t="s">
        <v>129</v>
      </c>
      <c r="G27" s="59" t="s">
        <v>128</v>
      </c>
      <c r="H27" s="59" t="s">
        <v>127</v>
      </c>
      <c r="J27" s="53" t="s">
        <v>126</v>
      </c>
    </row>
    <row r="28" spans="1:14" x14ac:dyDescent="0.25">
      <c r="A28">
        <v>12</v>
      </c>
      <c r="C28" s="46" t="s">
        <v>125</v>
      </c>
      <c r="D28" s="46">
        <f>'Калькулятор новий'!B13*0.15</f>
        <v>1320.1499999999999</v>
      </c>
      <c r="F28" s="46" t="s">
        <v>59</v>
      </c>
      <c r="G28" s="59">
        <f>300000*E17</f>
        <v>300000</v>
      </c>
      <c r="H28" s="59">
        <f>100000*E17</f>
        <v>100000</v>
      </c>
      <c r="I28" s="46" t="s">
        <v>124</v>
      </c>
      <c r="J28" s="50">
        <f>Розрахунки!J5</f>
        <v>308915.10000000003</v>
      </c>
    </row>
    <row r="29" spans="1:14" x14ac:dyDescent="0.25">
      <c r="A29">
        <v>13</v>
      </c>
      <c r="C29" s="47" t="s">
        <v>123</v>
      </c>
      <c r="D29" s="46">
        <f>D28*20/1000</f>
        <v>26.402999999999995</v>
      </c>
      <c r="F29" s="46" t="s">
        <v>58</v>
      </c>
      <c r="G29" s="59">
        <f>100000*E18</f>
        <v>100000</v>
      </c>
      <c r="H29" s="59">
        <f>G29*0.2*E18</f>
        <v>20000</v>
      </c>
      <c r="I29" s="46" t="s">
        <v>122</v>
      </c>
      <c r="J29" s="50">
        <f>I24*D32*E24</f>
        <v>12890.578271999997</v>
      </c>
      <c r="K29" t="s">
        <v>99</v>
      </c>
    </row>
    <row r="30" spans="1:14" x14ac:dyDescent="0.25">
      <c r="A30">
        <v>14</v>
      </c>
      <c r="C30" s="47" t="s">
        <v>121</v>
      </c>
      <c r="D30" s="46">
        <f>365*4</f>
        <v>1460</v>
      </c>
      <c r="F30" s="47" t="s">
        <v>57</v>
      </c>
      <c r="G30" s="59">
        <f>D47*E19</f>
        <v>187040</v>
      </c>
      <c r="H30" s="59">
        <f>G30*0.3*E19</f>
        <v>56112</v>
      </c>
      <c r="I30" s="46" t="s">
        <v>100</v>
      </c>
      <c r="J30" s="61">
        <f>D46*E19</f>
        <v>25698.920000000002</v>
      </c>
      <c r="K30" s="62">
        <f>SUM(J28:J30)</f>
        <v>347504.59827200003</v>
      </c>
    </row>
    <row r="31" spans="1:14" x14ac:dyDescent="0.25">
      <c r="A31">
        <v>15</v>
      </c>
      <c r="C31" s="47" t="s">
        <v>120</v>
      </c>
      <c r="D31" s="46">
        <f>D30*D29</f>
        <v>38548.37999999999</v>
      </c>
      <c r="F31" s="47" t="s">
        <v>56</v>
      </c>
      <c r="G31" s="59">
        <f>(VLOOKUP(H1,A2:G10,7,0))*D55*0.4*'Калькулятор новий'!B14*0.03*2000*E20</f>
        <v>259200</v>
      </c>
      <c r="H31" s="59">
        <f>(VLOOKUP(H1,A2:G10,7,0))*D55*0.4*'Калькулятор новий'!B14*0.03*200*E20</f>
        <v>25920</v>
      </c>
    </row>
    <row r="32" spans="1:14" x14ac:dyDescent="0.25">
      <c r="A32">
        <v>16</v>
      </c>
      <c r="C32" s="47" t="s">
        <v>119</v>
      </c>
      <c r="D32" s="61">
        <f>IF((D31/12)&gt;3600,1.479,0.456)</f>
        <v>0.45600000000000002</v>
      </c>
      <c r="F32" s="47" t="s">
        <v>55</v>
      </c>
      <c r="G32" s="59">
        <f>D57*E21</f>
        <v>3888000</v>
      </c>
      <c r="H32" s="59">
        <f>G32*0.2*E21</f>
        <v>777600</v>
      </c>
    </row>
    <row r="33" spans="1:9" x14ac:dyDescent="0.25">
      <c r="A33">
        <v>17</v>
      </c>
      <c r="C33" s="47" t="s">
        <v>114</v>
      </c>
      <c r="D33" s="60">
        <f>D32*D31</f>
        <v>17578.061279999994</v>
      </c>
      <c r="F33" s="47" t="s">
        <v>54</v>
      </c>
      <c r="G33" s="59">
        <f>D61*E22</f>
        <v>440050</v>
      </c>
      <c r="H33" s="59">
        <f>G33*0.2*E22</f>
        <v>88010</v>
      </c>
    </row>
    <row r="34" spans="1:9" x14ac:dyDescent="0.25">
      <c r="A34">
        <v>18</v>
      </c>
      <c r="C34" s="47" t="s">
        <v>118</v>
      </c>
      <c r="D34" s="46">
        <f>D29/0.075</f>
        <v>352.03999999999996</v>
      </c>
      <c r="F34" s="47" t="s">
        <v>53</v>
      </c>
      <c r="G34" s="59">
        <f>D65*E23</f>
        <v>440050</v>
      </c>
      <c r="H34" s="59">
        <f>G34*0.2*E23</f>
        <v>88010</v>
      </c>
    </row>
    <row r="35" spans="1:9" x14ac:dyDescent="0.25">
      <c r="A35">
        <v>19</v>
      </c>
      <c r="C35" s="47" t="s">
        <v>117</v>
      </c>
      <c r="D35" s="46">
        <f>200*D34</f>
        <v>70408</v>
      </c>
      <c r="F35" s="47" t="s">
        <v>52</v>
      </c>
      <c r="G35" s="59">
        <f>D35*E24</f>
        <v>70408</v>
      </c>
      <c r="H35" s="59">
        <f>G35*0.2*E24</f>
        <v>14081.6</v>
      </c>
    </row>
    <row r="36" spans="1:9" x14ac:dyDescent="0.25">
      <c r="A36">
        <v>20</v>
      </c>
      <c r="C36" s="47" t="s">
        <v>116</v>
      </c>
      <c r="D36" s="46">
        <f>D34*0.02*4*365</f>
        <v>10279.567999999999</v>
      </c>
      <c r="F36" s="47" t="s">
        <v>60</v>
      </c>
      <c r="G36" s="58">
        <v>0</v>
      </c>
      <c r="H36" s="58">
        <f>IF(E25=1,15000,0)</f>
        <v>15000</v>
      </c>
    </row>
    <row r="37" spans="1:9" x14ac:dyDescent="0.25">
      <c r="A37">
        <v>21</v>
      </c>
      <c r="C37" s="47" t="s">
        <v>115</v>
      </c>
      <c r="D37" s="46">
        <f>IF((D36/12)&gt;3600,1.479,0.456)</f>
        <v>0.45600000000000002</v>
      </c>
      <c r="G37" s="46">
        <f>SUM(G28:G36)</f>
        <v>5684748</v>
      </c>
      <c r="H37" s="57">
        <f>SUM(H28:H36)</f>
        <v>1184733.6000000001</v>
      </c>
    </row>
    <row r="38" spans="1:9" x14ac:dyDescent="0.25">
      <c r="A38">
        <v>22</v>
      </c>
      <c r="C38" s="47" t="s">
        <v>114</v>
      </c>
      <c r="D38" s="46">
        <f>D37*D36</f>
        <v>4687.4830080000002</v>
      </c>
    </row>
    <row r="39" spans="1:9" x14ac:dyDescent="0.25">
      <c r="A39">
        <v>23</v>
      </c>
      <c r="C39" s="56" t="s">
        <v>113</v>
      </c>
      <c r="D39" s="46">
        <f>D33-D38</f>
        <v>12890.578271999995</v>
      </c>
      <c r="G39" s="53" t="s">
        <v>112</v>
      </c>
      <c r="H39" s="46">
        <f>(G37+H37)*0.05</f>
        <v>343474.08</v>
      </c>
    </row>
    <row r="40" spans="1:9" x14ac:dyDescent="0.25">
      <c r="A40">
        <v>24</v>
      </c>
      <c r="C40" s="47" t="s">
        <v>104</v>
      </c>
      <c r="D40" s="50">
        <f>D35/D39</f>
        <v>5.4619737388302658</v>
      </c>
    </row>
    <row r="41" spans="1:9" x14ac:dyDescent="0.25">
      <c r="A41">
        <v>25</v>
      </c>
    </row>
    <row r="42" spans="1:9" x14ac:dyDescent="0.25">
      <c r="A42">
        <v>26</v>
      </c>
      <c r="C42" s="55" t="s">
        <v>111</v>
      </c>
      <c r="F42" s="53" t="s">
        <v>110</v>
      </c>
    </row>
    <row r="43" spans="1:9" x14ac:dyDescent="0.25">
      <c r="A43">
        <v>27</v>
      </c>
      <c r="C43" s="46" t="s">
        <v>109</v>
      </c>
      <c r="D43" s="46">
        <f>'Калькулятор новий'!B13</f>
        <v>8801</v>
      </c>
      <c r="F43" s="46" t="s">
        <v>102</v>
      </c>
      <c r="G43" s="50">
        <f>Розрахунки!J3/'Калькулятор новий'!B16</f>
        <v>3425.5389221556884</v>
      </c>
    </row>
    <row r="44" spans="1:9" x14ac:dyDescent="0.25">
      <c r="A44">
        <v>28</v>
      </c>
      <c r="C44" s="54" t="s">
        <v>108</v>
      </c>
      <c r="D44" s="46">
        <v>40</v>
      </c>
      <c r="F44" s="46" t="s">
        <v>100</v>
      </c>
      <c r="G44" s="50">
        <f>D45/'Калькулятор новий'!B16</f>
        <v>769.42874251497005</v>
      </c>
      <c r="H44" s="46" t="s">
        <v>99</v>
      </c>
      <c r="I44" s="46" t="s">
        <v>98</v>
      </c>
    </row>
    <row r="45" spans="1:9" x14ac:dyDescent="0.25">
      <c r="A45">
        <v>29</v>
      </c>
      <c r="C45" s="47" t="s">
        <v>107</v>
      </c>
      <c r="D45" s="46">
        <f>(D44*D43/1000)*365</f>
        <v>128494.6</v>
      </c>
      <c r="F45" s="46" t="s">
        <v>96</v>
      </c>
      <c r="G45" s="50">
        <f>D33/'Калькулятор новий'!B16</f>
        <v>105.25785197604787</v>
      </c>
      <c r="H45" s="50">
        <f>SUM(G43:G45)</f>
        <v>4300.2255166467066</v>
      </c>
      <c r="I45" s="50">
        <f>H45/12</f>
        <v>358.35212638722555</v>
      </c>
    </row>
    <row r="46" spans="1:9" x14ac:dyDescent="0.25">
      <c r="A46">
        <v>30</v>
      </c>
      <c r="C46" s="47" t="s">
        <v>106</v>
      </c>
      <c r="D46" s="46">
        <f>0.2*D45</f>
        <v>25698.920000000002</v>
      </c>
    </row>
    <row r="47" spans="1:9" x14ac:dyDescent="0.25">
      <c r="A47">
        <v>31</v>
      </c>
      <c r="C47" s="47" t="s">
        <v>105</v>
      </c>
      <c r="D47" s="46">
        <f>1120*'Калькулятор новий'!B16</f>
        <v>187040</v>
      </c>
    </row>
    <row r="48" spans="1:9" x14ac:dyDescent="0.25">
      <c r="A48">
        <v>32</v>
      </c>
      <c r="C48" s="47" t="s">
        <v>104</v>
      </c>
      <c r="D48" s="50">
        <f>D47/D46</f>
        <v>7.2781268629187528</v>
      </c>
      <c r="F48" s="53" t="s">
        <v>103</v>
      </c>
    </row>
    <row r="49" spans="1:9" x14ac:dyDescent="0.25">
      <c r="A49">
        <v>33</v>
      </c>
      <c r="F49" s="46" t="s">
        <v>102</v>
      </c>
      <c r="G49" s="50">
        <f>(Розрахунки!J3-ОСББ!J28)/'Калькулятор новий'!B16</f>
        <v>1575.7479041916165</v>
      </c>
    </row>
    <row r="50" spans="1:9" x14ac:dyDescent="0.25">
      <c r="A50">
        <v>34</v>
      </c>
      <c r="C50" s="48" t="s">
        <v>101</v>
      </c>
      <c r="F50" s="46" t="s">
        <v>100</v>
      </c>
      <c r="G50" s="50">
        <f>(D45-D46)/'Калькулятор новий'!B16</f>
        <v>615.54299401197613</v>
      </c>
      <c r="H50" s="46" t="s">
        <v>99</v>
      </c>
      <c r="I50" s="46" t="s">
        <v>98</v>
      </c>
    </row>
    <row r="51" spans="1:9" x14ac:dyDescent="0.25">
      <c r="A51">
        <v>35</v>
      </c>
      <c r="C51" s="46" t="s">
        <v>97</v>
      </c>
      <c r="D51" s="50">
        <f>G20</f>
        <v>40.396589999999996</v>
      </c>
      <c r="F51" s="46" t="s">
        <v>96</v>
      </c>
      <c r="G51" s="50">
        <f>D38/'Калькулятор новий'!B16</f>
        <v>28.068760526946107</v>
      </c>
      <c r="H51" s="50">
        <f>SUM(G49:G51)</f>
        <v>2219.3596587305383</v>
      </c>
      <c r="I51" s="50">
        <f>H51/12</f>
        <v>184.94663822754487</v>
      </c>
    </row>
    <row r="52" spans="1:9" x14ac:dyDescent="0.25">
      <c r="A52">
        <v>36</v>
      </c>
      <c r="C52" s="47" t="s">
        <v>95</v>
      </c>
      <c r="D52" s="46">
        <f>G31+H31</f>
        <v>285120</v>
      </c>
    </row>
    <row r="53" spans="1:9" x14ac:dyDescent="0.25">
      <c r="F53" s="46" t="s">
        <v>94</v>
      </c>
      <c r="G53" s="49">
        <f>ОСББ!G63</f>
        <v>5542955.6799999997</v>
      </c>
      <c r="H53" s="46" t="s">
        <v>92</v>
      </c>
    </row>
    <row r="54" spans="1:9" x14ac:dyDescent="0.25">
      <c r="C54" s="48" t="s">
        <v>93</v>
      </c>
      <c r="F54" s="52">
        <v>0.01</v>
      </c>
      <c r="G54" s="51">
        <f>G53*0.01</f>
        <v>55429.556799999998</v>
      </c>
      <c r="H54" s="46" t="s">
        <v>92</v>
      </c>
    </row>
    <row r="55" spans="1:9" x14ac:dyDescent="0.25">
      <c r="C55" s="46" t="s">
        <v>91</v>
      </c>
      <c r="D55" s="50">
        <f>'Калькулятор новий'!B15</f>
        <v>400</v>
      </c>
      <c r="F55" s="47" t="s">
        <v>90</v>
      </c>
      <c r="G55" s="49">
        <f>G53+G54</f>
        <v>5598385.2368000001</v>
      </c>
    </row>
    <row r="56" spans="1:9" x14ac:dyDescent="0.25">
      <c r="C56" s="47" t="s">
        <v>89</v>
      </c>
      <c r="D56" s="46">
        <f>(VLOOKUP(H1,A2:G10,7,0))*D55*0.6*'Калькулятор новий'!B14</f>
        <v>6480</v>
      </c>
    </row>
    <row r="57" spans="1:9" x14ac:dyDescent="0.25">
      <c r="C57" s="47" t="s">
        <v>88</v>
      </c>
      <c r="D57" s="46">
        <f>600*D56</f>
        <v>3888000</v>
      </c>
    </row>
    <row r="59" spans="1:9" ht="16.5" x14ac:dyDescent="0.25">
      <c r="C59" s="48" t="s">
        <v>87</v>
      </c>
      <c r="F59" s="4" t="s">
        <v>2</v>
      </c>
      <c r="G59" s="3">
        <f>VLOOKUP(Регіони!H2,Регіони!A2:G27,7,0)</f>
        <v>602</v>
      </c>
      <c r="H59" s="2" t="s">
        <v>0</v>
      </c>
    </row>
    <row r="60" spans="1:9" ht="16.5" x14ac:dyDescent="0.25">
      <c r="C60" s="46" t="s">
        <v>85</v>
      </c>
      <c r="D60" s="46">
        <f>'Калькулятор новий'!B13/'Калькулятор новий'!B14</f>
        <v>977.88888888888891</v>
      </c>
      <c r="F60" s="4" t="s">
        <v>1</v>
      </c>
      <c r="G60" s="3">
        <f>G59*((ОСББ!M26/100)+1)</f>
        <v>740.46</v>
      </c>
      <c r="H60" s="2" t="s">
        <v>0</v>
      </c>
    </row>
    <row r="61" spans="1:9" x14ac:dyDescent="0.25">
      <c r="C61" s="47" t="s">
        <v>84</v>
      </c>
      <c r="D61" s="46">
        <f>D60*450</f>
        <v>440050</v>
      </c>
    </row>
    <row r="63" spans="1:9" ht="16.5" x14ac:dyDescent="0.25">
      <c r="C63" s="48" t="s">
        <v>86</v>
      </c>
      <c r="F63" s="4" t="s">
        <v>10</v>
      </c>
      <c r="G63" s="9">
        <f>'Калькулятор новий'!B34-'Калькулятор новий'!B41</f>
        <v>5542955.6799999997</v>
      </c>
      <c r="H63" s="2" t="s">
        <v>6</v>
      </c>
    </row>
    <row r="64" spans="1:9" ht="16.5" x14ac:dyDescent="0.25">
      <c r="C64" s="46" t="s">
        <v>85</v>
      </c>
      <c r="D64" s="46">
        <f>'Калькулятор новий'!B13/'Калькулятор новий'!B14</f>
        <v>977.88888888888891</v>
      </c>
      <c r="F64" s="8" t="s">
        <v>9</v>
      </c>
      <c r="G64" s="9">
        <f>ОСББ!K30</f>
        <v>347504.59827200003</v>
      </c>
      <c r="H64" s="2" t="s">
        <v>8</v>
      </c>
    </row>
    <row r="65" spans="1:8" ht="16.5" x14ac:dyDescent="0.25">
      <c r="C65" s="47" t="s">
        <v>84</v>
      </c>
      <c r="D65" s="46">
        <f>D64*450</f>
        <v>440050</v>
      </c>
      <c r="F65" s="5"/>
      <c r="G65" s="5"/>
      <c r="H65" s="5"/>
    </row>
    <row r="66" spans="1:8" ht="16.5" x14ac:dyDescent="0.25">
      <c r="F66" s="5"/>
      <c r="G66" s="5"/>
      <c r="H66" s="5"/>
    </row>
    <row r="67" spans="1:8" ht="16.5" x14ac:dyDescent="0.25">
      <c r="F67" s="8" t="s">
        <v>7</v>
      </c>
      <c r="G67" s="9">
        <f>G63/'Калькулятор новий'!B16</f>
        <v>33191.351377245504</v>
      </c>
      <c r="H67" s="2" t="s">
        <v>6</v>
      </c>
    </row>
    <row r="68" spans="1:8" ht="16.5" x14ac:dyDescent="0.25">
      <c r="A68">
        <v>1</v>
      </c>
      <c r="F68" s="5"/>
      <c r="G68" s="5"/>
      <c r="H68" s="6"/>
    </row>
    <row r="69" spans="1:8" ht="16.5" x14ac:dyDescent="0.25">
      <c r="A69">
        <v>2</v>
      </c>
      <c r="F69" s="4" t="s">
        <v>5</v>
      </c>
      <c r="G69" s="7">
        <f>ОСББ!I45</f>
        <v>358.35212638722555</v>
      </c>
      <c r="H69" s="2" t="s">
        <v>3</v>
      </c>
    </row>
    <row r="70" spans="1:8" ht="16.5" x14ac:dyDescent="0.25">
      <c r="A70">
        <v>3</v>
      </c>
      <c r="F70" s="4" t="s">
        <v>4</v>
      </c>
      <c r="G70" s="7">
        <f>ОСББ!I51</f>
        <v>184.94663822754487</v>
      </c>
      <c r="H70" s="2" t="s">
        <v>3</v>
      </c>
    </row>
    <row r="71" spans="1:8" x14ac:dyDescent="0.25">
      <c r="A71">
        <v>4</v>
      </c>
    </row>
    <row r="72" spans="1:8" x14ac:dyDescent="0.25">
      <c r="A72">
        <v>5</v>
      </c>
    </row>
    <row r="73" spans="1:8" x14ac:dyDescent="0.25">
      <c r="A73">
        <v>6</v>
      </c>
    </row>
    <row r="74" spans="1:8" x14ac:dyDescent="0.25">
      <c r="A74">
        <v>7</v>
      </c>
    </row>
    <row r="75" spans="1:8" x14ac:dyDescent="0.25">
      <c r="A75">
        <v>8</v>
      </c>
    </row>
    <row r="76" spans="1:8" x14ac:dyDescent="0.25">
      <c r="A76">
        <v>9</v>
      </c>
    </row>
    <row r="77" spans="1:8" x14ac:dyDescent="0.25">
      <c r="A77">
        <v>10</v>
      </c>
    </row>
    <row r="78" spans="1:8" x14ac:dyDescent="0.25">
      <c r="A78">
        <v>11</v>
      </c>
    </row>
    <row r="79" spans="1:8" x14ac:dyDescent="0.25">
      <c r="A79">
        <v>12</v>
      </c>
    </row>
    <row r="80" spans="1:8" x14ac:dyDescent="0.25">
      <c r="A80">
        <v>13</v>
      </c>
    </row>
    <row r="81" spans="1:1" x14ac:dyDescent="0.25">
      <c r="A81">
        <v>14</v>
      </c>
    </row>
    <row r="82" spans="1:1" x14ac:dyDescent="0.25">
      <c r="A82">
        <v>15</v>
      </c>
    </row>
    <row r="83" spans="1:1" x14ac:dyDescent="0.25">
      <c r="A83">
        <v>16</v>
      </c>
    </row>
    <row r="84" spans="1:1" x14ac:dyDescent="0.25">
      <c r="A84">
        <v>17</v>
      </c>
    </row>
    <row r="85" spans="1:1" x14ac:dyDescent="0.25">
      <c r="A85">
        <v>18</v>
      </c>
    </row>
    <row r="86" spans="1:1" x14ac:dyDescent="0.25">
      <c r="A86">
        <v>19</v>
      </c>
    </row>
    <row r="87" spans="1:1" x14ac:dyDescent="0.25">
      <c r="A87">
        <v>20</v>
      </c>
    </row>
    <row r="88" spans="1:1" x14ac:dyDescent="0.25">
      <c r="A88">
        <v>21</v>
      </c>
    </row>
    <row r="89" spans="1:1" x14ac:dyDescent="0.25">
      <c r="A89">
        <v>22</v>
      </c>
    </row>
    <row r="90" spans="1:1" x14ac:dyDescent="0.25">
      <c r="A90">
        <v>23</v>
      </c>
    </row>
    <row r="91" spans="1:1" x14ac:dyDescent="0.25">
      <c r="A91">
        <v>24</v>
      </c>
    </row>
    <row r="92" spans="1:1" x14ac:dyDescent="0.25">
      <c r="A92">
        <v>25</v>
      </c>
    </row>
    <row r="93" spans="1:1" x14ac:dyDescent="0.25">
      <c r="A93">
        <v>26</v>
      </c>
    </row>
    <row r="94" spans="1:1" x14ac:dyDescent="0.25">
      <c r="A94">
        <v>27</v>
      </c>
    </row>
    <row r="95" spans="1:1" x14ac:dyDescent="0.25">
      <c r="A95">
        <v>28</v>
      </c>
    </row>
    <row r="96" spans="1:1" x14ac:dyDescent="0.25">
      <c r="A96">
        <v>29</v>
      </c>
    </row>
    <row r="97" spans="1:1" x14ac:dyDescent="0.25">
      <c r="A97">
        <v>30</v>
      </c>
    </row>
    <row r="98" spans="1:1" x14ac:dyDescent="0.25">
      <c r="A98">
        <v>31</v>
      </c>
    </row>
    <row r="99" spans="1:1" x14ac:dyDescent="0.25">
      <c r="A99">
        <v>32</v>
      </c>
    </row>
    <row r="100" spans="1:1" x14ac:dyDescent="0.25">
      <c r="A100">
        <v>33</v>
      </c>
    </row>
    <row r="101" spans="1:1" x14ac:dyDescent="0.25">
      <c r="A101">
        <v>34</v>
      </c>
    </row>
    <row r="102" spans="1:1" x14ac:dyDescent="0.25">
      <c r="A102">
        <v>35</v>
      </c>
    </row>
    <row r="103" spans="1:1" x14ac:dyDescent="0.25">
      <c r="A103">
        <v>36</v>
      </c>
    </row>
    <row r="104" spans="1:1" x14ac:dyDescent="0.25">
      <c r="A104">
        <v>37</v>
      </c>
    </row>
    <row r="105" spans="1:1" x14ac:dyDescent="0.25">
      <c r="A105">
        <v>38</v>
      </c>
    </row>
    <row r="106" spans="1:1" x14ac:dyDescent="0.25">
      <c r="A106">
        <v>39</v>
      </c>
    </row>
    <row r="107" spans="1:1" x14ac:dyDescent="0.25">
      <c r="A107">
        <v>40</v>
      </c>
    </row>
    <row r="108" spans="1:1" x14ac:dyDescent="0.25">
      <c r="A108">
        <v>41</v>
      </c>
    </row>
    <row r="109" spans="1:1" x14ac:dyDescent="0.25">
      <c r="A109">
        <v>42</v>
      </c>
    </row>
    <row r="110" spans="1:1" x14ac:dyDescent="0.25">
      <c r="A110">
        <v>43</v>
      </c>
    </row>
    <row r="111" spans="1:1" x14ac:dyDescent="0.25">
      <c r="A111">
        <v>44</v>
      </c>
    </row>
    <row r="112" spans="1:1" x14ac:dyDescent="0.25">
      <c r="A112">
        <v>45</v>
      </c>
    </row>
    <row r="113" spans="1:1" x14ac:dyDescent="0.25">
      <c r="A113">
        <v>46</v>
      </c>
    </row>
    <row r="114" spans="1:1" x14ac:dyDescent="0.25">
      <c r="A114">
        <v>47</v>
      </c>
    </row>
    <row r="115" spans="1:1" x14ac:dyDescent="0.25">
      <c r="A115">
        <v>48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E15:F15"/>
    <mergeCell ref="H16:H23"/>
    <mergeCell ref="I16:I23"/>
    <mergeCell ref="J16:J23"/>
    <mergeCell ref="K16:K2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2"/>
  <sheetViews>
    <sheetView topLeftCell="A22" workbookViewId="0">
      <selection activeCell="D11" sqref="D11"/>
    </sheetView>
  </sheetViews>
  <sheetFormatPr defaultRowHeight="15" x14ac:dyDescent="0.25"/>
  <cols>
    <col min="1" max="1" width="66" customWidth="1"/>
    <col min="2" max="2" width="34.28515625" customWidth="1"/>
    <col min="3" max="3" width="23.140625" customWidth="1"/>
  </cols>
  <sheetData>
    <row r="1" spans="1:2" x14ac:dyDescent="0.25">
      <c r="A1" s="288" t="s">
        <v>364</v>
      </c>
      <c r="B1" s="289"/>
    </row>
    <row r="2" spans="1:2" ht="30" x14ac:dyDescent="0.25">
      <c r="A2" s="92" t="s">
        <v>600</v>
      </c>
      <c r="B2" s="148">
        <f>'Калькулятор новий'!B13*VLOOKUP(Регіони!H2,Регіони!A1:F27,6,0)</f>
        <v>1346.5529999999999</v>
      </c>
    </row>
    <row r="3" spans="1:2" x14ac:dyDescent="0.25">
      <c r="A3" s="85" t="s">
        <v>601</v>
      </c>
      <c r="B3" s="149">
        <f>ОСББ!H26</f>
        <v>0.54</v>
      </c>
    </row>
    <row r="4" spans="1:2" x14ac:dyDescent="0.25">
      <c r="A4" s="85" t="s">
        <v>363</v>
      </c>
      <c r="B4" s="109">
        <f>B2*(1-B3)</f>
        <v>619.41437999999994</v>
      </c>
    </row>
    <row r="5" spans="1:2" x14ac:dyDescent="0.25">
      <c r="A5" s="286" t="s">
        <v>362</v>
      </c>
      <c r="B5" s="287"/>
    </row>
    <row r="6" spans="1:2" x14ac:dyDescent="0.25">
      <c r="A6" s="156" t="s">
        <v>603</v>
      </c>
      <c r="B6" s="157">
        <f>'Калькулятор новий'!B17/30.29*'Вхідні дані'!B42</f>
        <v>58.765269065698256</v>
      </c>
    </row>
    <row r="7" spans="1:2" x14ac:dyDescent="0.25">
      <c r="A7" s="90" t="s">
        <v>361</v>
      </c>
      <c r="B7" s="148">
        <f>B6/(VLOOKUP(Регіони!H2,Регіони!A1:F27,6,0))</f>
        <v>384.08672591959646</v>
      </c>
    </row>
    <row r="8" spans="1:2" x14ac:dyDescent="0.25">
      <c r="A8" s="90" t="s">
        <v>360</v>
      </c>
      <c r="B8" s="109">
        <f>B7*1.5</f>
        <v>576.13008887939463</v>
      </c>
    </row>
    <row r="9" spans="1:2" x14ac:dyDescent="0.25">
      <c r="A9" s="90" t="s">
        <v>359</v>
      </c>
      <c r="B9" s="109">
        <f>B8*1.5</f>
        <v>864.19513331909195</v>
      </c>
    </row>
    <row r="10" spans="1:2" x14ac:dyDescent="0.25">
      <c r="A10" s="90" t="s">
        <v>611</v>
      </c>
      <c r="B10" s="248">
        <f>ОСББ!D32</f>
        <v>0.45600000000000002</v>
      </c>
    </row>
    <row r="11" spans="1:2" x14ac:dyDescent="0.25">
      <c r="A11" s="90" t="s">
        <v>612</v>
      </c>
      <c r="B11" s="248">
        <f>B10*1.5</f>
        <v>0.68400000000000005</v>
      </c>
    </row>
    <row r="12" spans="1:2" x14ac:dyDescent="0.25">
      <c r="A12" s="90" t="s">
        <v>613</v>
      </c>
      <c r="B12" s="248">
        <f>B11*1.5</f>
        <v>1.026</v>
      </c>
    </row>
    <row r="13" spans="1:2" x14ac:dyDescent="0.25">
      <c r="A13" s="91" t="s">
        <v>358</v>
      </c>
      <c r="B13" s="152">
        <v>0.25</v>
      </c>
    </row>
    <row r="14" spans="1:2" x14ac:dyDescent="0.25">
      <c r="A14" s="90" t="s">
        <v>357</v>
      </c>
      <c r="B14" s="115">
        <f>B15+B16</f>
        <v>7212955.6799999997</v>
      </c>
    </row>
    <row r="15" spans="1:2" x14ac:dyDescent="0.25">
      <c r="A15" s="91" t="s">
        <v>602</v>
      </c>
      <c r="B15" s="153">
        <f>'Калькулятор новий'!B36+'Калькулятор новий'!B37</f>
        <v>1528207.6800000002</v>
      </c>
    </row>
    <row r="16" spans="1:2" x14ac:dyDescent="0.25">
      <c r="A16" s="90" t="s">
        <v>306</v>
      </c>
      <c r="B16" s="153">
        <f>'Калькулятор новий'!B35</f>
        <v>5684748</v>
      </c>
    </row>
    <row r="17" spans="1:3" x14ac:dyDescent="0.25">
      <c r="A17" s="91" t="s">
        <v>356</v>
      </c>
      <c r="B17" s="149">
        <f>B18/B14</f>
        <v>0</v>
      </c>
    </row>
    <row r="18" spans="1:3" x14ac:dyDescent="0.25">
      <c r="A18" s="91" t="s">
        <v>355</v>
      </c>
      <c r="B18" s="153">
        <f>'Калькулятор новий'!B39</f>
        <v>0</v>
      </c>
    </row>
    <row r="19" spans="1:3" x14ac:dyDescent="0.25">
      <c r="A19" s="91" t="s">
        <v>354</v>
      </c>
      <c r="B19" s="113">
        <v>30000</v>
      </c>
    </row>
    <row r="20" spans="1:3" x14ac:dyDescent="0.25">
      <c r="A20" s="91" t="s">
        <v>353</v>
      </c>
      <c r="B20" s="113">
        <f>B19*B36</f>
        <v>5010000</v>
      </c>
    </row>
    <row r="21" spans="1:3" x14ac:dyDescent="0.25">
      <c r="A21" s="91" t="s">
        <v>606</v>
      </c>
      <c r="B21" s="153">
        <f>B14-B18</f>
        <v>7212955.6799999997</v>
      </c>
    </row>
    <row r="22" spans="1:3" x14ac:dyDescent="0.25">
      <c r="A22" s="91" t="s">
        <v>304</v>
      </c>
      <c r="B22" s="149">
        <f>VLOOKUP('Умови кредитування'!G2,'Умови кредитування'!A1:E10,5,0)</f>
        <v>0</v>
      </c>
    </row>
    <row r="23" spans="1:3" x14ac:dyDescent="0.25">
      <c r="A23" s="91" t="s">
        <v>352</v>
      </c>
      <c r="B23" s="161">
        <f>'Калькулятор новий'!B49</f>
        <v>0</v>
      </c>
    </row>
    <row r="24" spans="1:3" x14ac:dyDescent="0.25">
      <c r="A24" s="91" t="s">
        <v>305</v>
      </c>
      <c r="B24" s="159">
        <f>'Калькулятор новий'!B48/12</f>
        <v>5</v>
      </c>
    </row>
    <row r="25" spans="1:3" x14ac:dyDescent="0.25">
      <c r="A25" s="91" t="s">
        <v>351</v>
      </c>
      <c r="B25" s="274">
        <f>VLOOKUP('Умови кредитування'!G2,'Умови кредитування'!A1:E10,3,0)</f>
        <v>0.22800000000000001</v>
      </c>
    </row>
    <row r="26" spans="1:3" ht="29.25" customHeight="1" x14ac:dyDescent="0.25">
      <c r="A26" s="160" t="s">
        <v>350</v>
      </c>
      <c r="B26" s="151">
        <v>0.1</v>
      </c>
    </row>
    <row r="27" spans="1:3" ht="29.25" customHeight="1" x14ac:dyDescent="0.25">
      <c r="A27" s="91" t="s">
        <v>349</v>
      </c>
      <c r="B27" s="114">
        <v>0.4</v>
      </c>
    </row>
    <row r="28" spans="1:3" ht="30" x14ac:dyDescent="0.25">
      <c r="A28" s="91" t="s">
        <v>348</v>
      </c>
      <c r="B28" s="113">
        <f>'Калькулятор новий'!B41</f>
        <v>1670000</v>
      </c>
      <c r="C28" s="84"/>
    </row>
    <row r="29" spans="1:3" ht="30" x14ac:dyDescent="0.25">
      <c r="A29" s="91" t="s">
        <v>303</v>
      </c>
      <c r="B29" s="113">
        <f>B21-B28</f>
        <v>5542955.6799999997</v>
      </c>
    </row>
    <row r="30" spans="1:3" x14ac:dyDescent="0.25">
      <c r="A30" s="91" t="s">
        <v>302</v>
      </c>
      <c r="B30" s="113">
        <f>PMT(B25/12,B24*12,'Вхідні дані'!B29,0,0)</f>
        <v>-155622.26169021041</v>
      </c>
    </row>
    <row r="31" spans="1:3" ht="27.75" customHeight="1" x14ac:dyDescent="0.25">
      <c r="A31" s="91" t="s">
        <v>347</v>
      </c>
      <c r="B31" s="113">
        <f>PMT((B25-B26)/12,B24*12,'Вхідні дані'!B29,0,0)</f>
        <v>-125552.50352272364</v>
      </c>
    </row>
    <row r="32" spans="1:3" ht="15.75" customHeight="1" x14ac:dyDescent="0.25">
      <c r="A32" s="91" t="s">
        <v>346</v>
      </c>
      <c r="B32" s="113">
        <f>PMT(B25/12,B24*12,'Вхідні дані'!B21,0,0)</f>
        <v>-202508.65083461202</v>
      </c>
    </row>
    <row r="33" spans="1:5" x14ac:dyDescent="0.25">
      <c r="A33" s="91" t="s">
        <v>345</v>
      </c>
      <c r="B33" s="88">
        <v>3</v>
      </c>
    </row>
    <row r="34" spans="1:5" ht="15.75" thickBot="1" x14ac:dyDescent="0.3">
      <c r="A34" s="112" t="s">
        <v>344</v>
      </c>
      <c r="B34" s="111">
        <f>B30*2</f>
        <v>-311244.52338042081</v>
      </c>
    </row>
    <row r="35" spans="1:5" ht="15.75" thickBot="1" x14ac:dyDescent="0.3">
      <c r="A35" s="290" t="s">
        <v>343</v>
      </c>
      <c r="B35" s="290"/>
    </row>
    <row r="36" spans="1:5" x14ac:dyDescent="0.25">
      <c r="A36" s="110" t="s">
        <v>342</v>
      </c>
      <c r="B36" s="150">
        <f>'Калькулятор новий'!B16</f>
        <v>167</v>
      </c>
    </row>
    <row r="37" spans="1:5" x14ac:dyDescent="0.25">
      <c r="A37" s="85" t="s">
        <v>307</v>
      </c>
      <c r="B37" s="148">
        <f>'Калькулятор новий'!B13</f>
        <v>8801</v>
      </c>
    </row>
    <row r="38" spans="1:5" ht="28.5" customHeight="1" x14ac:dyDescent="0.25">
      <c r="A38" s="90" t="s">
        <v>341</v>
      </c>
      <c r="B38" s="109">
        <f>B40*1.163*1000</f>
        <v>177.93900000000002</v>
      </c>
      <c r="E38" s="82"/>
    </row>
    <row r="39" spans="1:5" ht="31.5" customHeight="1" x14ac:dyDescent="0.25">
      <c r="A39" s="90" t="s">
        <v>340</v>
      </c>
      <c r="B39" s="109">
        <f>B41*1.163*1000</f>
        <v>81.851939999999999</v>
      </c>
    </row>
    <row r="40" spans="1:5" ht="31.5" customHeight="1" x14ac:dyDescent="0.25">
      <c r="A40" s="90" t="s">
        <v>339</v>
      </c>
      <c r="B40" s="108">
        <f>B2/B37</f>
        <v>0.153</v>
      </c>
    </row>
    <row r="41" spans="1:5" ht="30" customHeight="1" x14ac:dyDescent="0.25">
      <c r="A41" s="90" t="s">
        <v>338</v>
      </c>
      <c r="B41" s="108">
        <f>B4/B37</f>
        <v>7.0379999999999998E-2</v>
      </c>
    </row>
    <row r="42" spans="1:5" ht="15.75" thickBot="1" x14ac:dyDescent="0.3">
      <c r="A42" s="107" t="s">
        <v>333</v>
      </c>
      <c r="B42" s="155">
        <f>VLOOKUP(Регіони!H2,Регіони!A1:F27,5,0)</f>
        <v>178</v>
      </c>
    </row>
  </sheetData>
  <mergeCells count="3">
    <mergeCell ref="A5:B5"/>
    <mergeCell ref="A1:B1"/>
    <mergeCell ref="A35:B35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45"/>
  <sheetViews>
    <sheetView workbookViewId="0">
      <pane xSplit="1" ySplit="1" topLeftCell="B10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RowHeight="15" outlineLevelRow="1" x14ac:dyDescent="0.25"/>
  <cols>
    <col min="1" max="1" width="51.28515625" style="94" customWidth="1"/>
    <col min="2" max="2" width="12.42578125" bestFit="1" customWidth="1"/>
    <col min="3" max="3" width="10.28515625" bestFit="1" customWidth="1"/>
    <col min="4" max="241" width="10.140625" bestFit="1" customWidth="1"/>
  </cols>
  <sheetData>
    <row r="1" spans="1:247" x14ac:dyDescent="0.25">
      <c r="B1">
        <v>1</v>
      </c>
      <c r="C1">
        <f t="shared" ref="C1:BN1" si="0">B1+1</f>
        <v>2</v>
      </c>
      <c r="D1">
        <f t="shared" si="0"/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  <c r="V1">
        <f t="shared" si="0"/>
        <v>21</v>
      </c>
      <c r="W1">
        <f t="shared" si="0"/>
        <v>22</v>
      </c>
      <c r="X1">
        <f t="shared" si="0"/>
        <v>23</v>
      </c>
      <c r="Y1">
        <f t="shared" si="0"/>
        <v>24</v>
      </c>
      <c r="Z1">
        <f t="shared" si="0"/>
        <v>25</v>
      </c>
      <c r="AA1">
        <f t="shared" si="0"/>
        <v>26</v>
      </c>
      <c r="AB1">
        <f t="shared" si="0"/>
        <v>27</v>
      </c>
      <c r="AC1">
        <f t="shared" si="0"/>
        <v>28</v>
      </c>
      <c r="AD1">
        <f t="shared" si="0"/>
        <v>29</v>
      </c>
      <c r="AE1">
        <f t="shared" si="0"/>
        <v>30</v>
      </c>
      <c r="AF1">
        <f t="shared" si="0"/>
        <v>31</v>
      </c>
      <c r="AG1">
        <f t="shared" si="0"/>
        <v>32</v>
      </c>
      <c r="AH1">
        <f t="shared" si="0"/>
        <v>33</v>
      </c>
      <c r="AI1">
        <f t="shared" si="0"/>
        <v>34</v>
      </c>
      <c r="AJ1">
        <f t="shared" si="0"/>
        <v>35</v>
      </c>
      <c r="AK1">
        <f t="shared" si="0"/>
        <v>36</v>
      </c>
      <c r="AL1">
        <f t="shared" si="0"/>
        <v>37</v>
      </c>
      <c r="AM1">
        <f t="shared" si="0"/>
        <v>38</v>
      </c>
      <c r="AN1">
        <f t="shared" si="0"/>
        <v>39</v>
      </c>
      <c r="AO1">
        <f t="shared" si="0"/>
        <v>40</v>
      </c>
      <c r="AP1">
        <f t="shared" si="0"/>
        <v>41</v>
      </c>
      <c r="AQ1">
        <f t="shared" si="0"/>
        <v>42</v>
      </c>
      <c r="AR1">
        <f t="shared" si="0"/>
        <v>43</v>
      </c>
      <c r="AS1">
        <f t="shared" si="0"/>
        <v>44</v>
      </c>
      <c r="AT1">
        <f t="shared" si="0"/>
        <v>45</v>
      </c>
      <c r="AU1">
        <f t="shared" si="0"/>
        <v>46</v>
      </c>
      <c r="AV1">
        <f t="shared" si="0"/>
        <v>47</v>
      </c>
      <c r="AW1">
        <f t="shared" si="0"/>
        <v>48</v>
      </c>
      <c r="AX1">
        <f t="shared" si="0"/>
        <v>49</v>
      </c>
      <c r="AY1">
        <f t="shared" si="0"/>
        <v>50</v>
      </c>
      <c r="AZ1">
        <f t="shared" si="0"/>
        <v>51</v>
      </c>
      <c r="BA1">
        <f t="shared" si="0"/>
        <v>52</v>
      </c>
      <c r="BB1">
        <f t="shared" si="0"/>
        <v>53</v>
      </c>
      <c r="BC1">
        <f t="shared" si="0"/>
        <v>54</v>
      </c>
      <c r="BD1">
        <f t="shared" si="0"/>
        <v>55</v>
      </c>
      <c r="BE1">
        <f t="shared" si="0"/>
        <v>56</v>
      </c>
      <c r="BF1">
        <f t="shared" si="0"/>
        <v>57</v>
      </c>
      <c r="BG1">
        <f t="shared" si="0"/>
        <v>58</v>
      </c>
      <c r="BH1">
        <f t="shared" si="0"/>
        <v>59</v>
      </c>
      <c r="BI1">
        <f t="shared" si="0"/>
        <v>60</v>
      </c>
      <c r="BJ1">
        <f t="shared" si="0"/>
        <v>61</v>
      </c>
      <c r="BK1">
        <f t="shared" si="0"/>
        <v>62</v>
      </c>
      <c r="BL1">
        <f t="shared" si="0"/>
        <v>63</v>
      </c>
      <c r="BM1">
        <f t="shared" si="0"/>
        <v>64</v>
      </c>
      <c r="BN1">
        <f t="shared" si="0"/>
        <v>65</v>
      </c>
      <c r="BO1">
        <f t="shared" ref="BO1:DZ1" si="1">BN1+1</f>
        <v>66</v>
      </c>
      <c r="BP1">
        <f t="shared" si="1"/>
        <v>67</v>
      </c>
      <c r="BQ1">
        <f t="shared" si="1"/>
        <v>68</v>
      </c>
      <c r="BR1">
        <f t="shared" si="1"/>
        <v>69</v>
      </c>
      <c r="BS1">
        <f t="shared" si="1"/>
        <v>70</v>
      </c>
      <c r="BT1">
        <f t="shared" si="1"/>
        <v>71</v>
      </c>
      <c r="BU1">
        <f t="shared" si="1"/>
        <v>72</v>
      </c>
      <c r="BV1">
        <f t="shared" si="1"/>
        <v>73</v>
      </c>
      <c r="BW1">
        <f t="shared" si="1"/>
        <v>74</v>
      </c>
      <c r="BX1">
        <f t="shared" si="1"/>
        <v>75</v>
      </c>
      <c r="BY1">
        <f t="shared" si="1"/>
        <v>76</v>
      </c>
      <c r="BZ1">
        <f t="shared" si="1"/>
        <v>77</v>
      </c>
      <c r="CA1">
        <f t="shared" si="1"/>
        <v>78</v>
      </c>
      <c r="CB1">
        <f t="shared" si="1"/>
        <v>79</v>
      </c>
      <c r="CC1">
        <f t="shared" si="1"/>
        <v>80</v>
      </c>
      <c r="CD1">
        <f t="shared" si="1"/>
        <v>81</v>
      </c>
      <c r="CE1">
        <f t="shared" si="1"/>
        <v>82</v>
      </c>
      <c r="CF1">
        <f t="shared" si="1"/>
        <v>83</v>
      </c>
      <c r="CG1">
        <f t="shared" si="1"/>
        <v>84</v>
      </c>
      <c r="CH1">
        <f t="shared" si="1"/>
        <v>85</v>
      </c>
      <c r="CI1">
        <f t="shared" si="1"/>
        <v>86</v>
      </c>
      <c r="CJ1">
        <f t="shared" si="1"/>
        <v>87</v>
      </c>
      <c r="CK1">
        <f t="shared" si="1"/>
        <v>88</v>
      </c>
      <c r="CL1">
        <f t="shared" si="1"/>
        <v>89</v>
      </c>
      <c r="CM1">
        <f t="shared" si="1"/>
        <v>90</v>
      </c>
      <c r="CN1">
        <f t="shared" si="1"/>
        <v>91</v>
      </c>
      <c r="CO1">
        <f t="shared" si="1"/>
        <v>92</v>
      </c>
      <c r="CP1">
        <f t="shared" si="1"/>
        <v>93</v>
      </c>
      <c r="CQ1">
        <f t="shared" si="1"/>
        <v>94</v>
      </c>
      <c r="CR1">
        <f t="shared" si="1"/>
        <v>95</v>
      </c>
      <c r="CS1">
        <f t="shared" si="1"/>
        <v>96</v>
      </c>
      <c r="CT1">
        <f t="shared" si="1"/>
        <v>97</v>
      </c>
      <c r="CU1">
        <f t="shared" si="1"/>
        <v>98</v>
      </c>
      <c r="CV1">
        <f t="shared" si="1"/>
        <v>99</v>
      </c>
      <c r="CW1">
        <f t="shared" si="1"/>
        <v>100</v>
      </c>
      <c r="CX1">
        <f t="shared" si="1"/>
        <v>101</v>
      </c>
      <c r="CY1">
        <f t="shared" si="1"/>
        <v>102</v>
      </c>
      <c r="CZ1">
        <f t="shared" si="1"/>
        <v>103</v>
      </c>
      <c r="DA1">
        <f t="shared" si="1"/>
        <v>104</v>
      </c>
      <c r="DB1">
        <f t="shared" si="1"/>
        <v>105</v>
      </c>
      <c r="DC1">
        <f t="shared" si="1"/>
        <v>106</v>
      </c>
      <c r="DD1">
        <f t="shared" si="1"/>
        <v>107</v>
      </c>
      <c r="DE1">
        <f t="shared" si="1"/>
        <v>108</v>
      </c>
      <c r="DF1">
        <f t="shared" si="1"/>
        <v>109</v>
      </c>
      <c r="DG1">
        <f t="shared" si="1"/>
        <v>110</v>
      </c>
      <c r="DH1">
        <f t="shared" si="1"/>
        <v>111</v>
      </c>
      <c r="DI1">
        <f t="shared" si="1"/>
        <v>112</v>
      </c>
      <c r="DJ1">
        <f t="shared" si="1"/>
        <v>113</v>
      </c>
      <c r="DK1">
        <f t="shared" si="1"/>
        <v>114</v>
      </c>
      <c r="DL1">
        <f t="shared" si="1"/>
        <v>115</v>
      </c>
      <c r="DM1">
        <f t="shared" si="1"/>
        <v>116</v>
      </c>
      <c r="DN1">
        <f t="shared" si="1"/>
        <v>117</v>
      </c>
      <c r="DO1">
        <f t="shared" si="1"/>
        <v>118</v>
      </c>
      <c r="DP1">
        <f t="shared" si="1"/>
        <v>119</v>
      </c>
      <c r="DQ1">
        <f t="shared" si="1"/>
        <v>120</v>
      </c>
      <c r="DR1">
        <f t="shared" si="1"/>
        <v>121</v>
      </c>
      <c r="DS1">
        <f t="shared" si="1"/>
        <v>122</v>
      </c>
      <c r="DT1">
        <f t="shared" si="1"/>
        <v>123</v>
      </c>
      <c r="DU1">
        <f t="shared" si="1"/>
        <v>124</v>
      </c>
      <c r="DV1">
        <f t="shared" si="1"/>
        <v>125</v>
      </c>
      <c r="DW1">
        <f t="shared" si="1"/>
        <v>126</v>
      </c>
      <c r="DX1">
        <f t="shared" si="1"/>
        <v>127</v>
      </c>
      <c r="DY1">
        <f t="shared" si="1"/>
        <v>128</v>
      </c>
      <c r="DZ1">
        <f t="shared" si="1"/>
        <v>129</v>
      </c>
      <c r="EA1">
        <f t="shared" ref="EA1:GL1" si="2">DZ1+1</f>
        <v>130</v>
      </c>
      <c r="EB1">
        <f t="shared" si="2"/>
        <v>131</v>
      </c>
      <c r="EC1">
        <f t="shared" si="2"/>
        <v>132</v>
      </c>
      <c r="ED1">
        <f t="shared" si="2"/>
        <v>133</v>
      </c>
      <c r="EE1">
        <f t="shared" si="2"/>
        <v>134</v>
      </c>
      <c r="EF1">
        <f t="shared" si="2"/>
        <v>135</v>
      </c>
      <c r="EG1">
        <f t="shared" si="2"/>
        <v>136</v>
      </c>
      <c r="EH1">
        <f t="shared" si="2"/>
        <v>137</v>
      </c>
      <c r="EI1">
        <f t="shared" si="2"/>
        <v>138</v>
      </c>
      <c r="EJ1">
        <f t="shared" si="2"/>
        <v>139</v>
      </c>
      <c r="EK1">
        <f t="shared" si="2"/>
        <v>140</v>
      </c>
      <c r="EL1">
        <f t="shared" si="2"/>
        <v>141</v>
      </c>
      <c r="EM1">
        <f t="shared" si="2"/>
        <v>142</v>
      </c>
      <c r="EN1">
        <f t="shared" si="2"/>
        <v>143</v>
      </c>
      <c r="EO1">
        <f t="shared" si="2"/>
        <v>144</v>
      </c>
      <c r="EP1">
        <f t="shared" si="2"/>
        <v>145</v>
      </c>
      <c r="EQ1">
        <f t="shared" si="2"/>
        <v>146</v>
      </c>
      <c r="ER1">
        <f t="shared" si="2"/>
        <v>147</v>
      </c>
      <c r="ES1">
        <f t="shared" si="2"/>
        <v>148</v>
      </c>
      <c r="ET1">
        <f t="shared" si="2"/>
        <v>149</v>
      </c>
      <c r="EU1">
        <f t="shared" si="2"/>
        <v>150</v>
      </c>
      <c r="EV1">
        <f t="shared" si="2"/>
        <v>151</v>
      </c>
      <c r="EW1">
        <f t="shared" si="2"/>
        <v>152</v>
      </c>
      <c r="EX1">
        <f t="shared" si="2"/>
        <v>153</v>
      </c>
      <c r="EY1">
        <f t="shared" si="2"/>
        <v>154</v>
      </c>
      <c r="EZ1">
        <f t="shared" si="2"/>
        <v>155</v>
      </c>
      <c r="FA1">
        <f t="shared" si="2"/>
        <v>156</v>
      </c>
      <c r="FB1">
        <f t="shared" si="2"/>
        <v>157</v>
      </c>
      <c r="FC1">
        <f t="shared" si="2"/>
        <v>158</v>
      </c>
      <c r="FD1">
        <f t="shared" si="2"/>
        <v>159</v>
      </c>
      <c r="FE1">
        <f t="shared" si="2"/>
        <v>160</v>
      </c>
      <c r="FF1">
        <f t="shared" si="2"/>
        <v>161</v>
      </c>
      <c r="FG1">
        <f t="shared" si="2"/>
        <v>162</v>
      </c>
      <c r="FH1">
        <f t="shared" si="2"/>
        <v>163</v>
      </c>
      <c r="FI1">
        <f t="shared" si="2"/>
        <v>164</v>
      </c>
      <c r="FJ1">
        <f t="shared" si="2"/>
        <v>165</v>
      </c>
      <c r="FK1">
        <f t="shared" si="2"/>
        <v>166</v>
      </c>
      <c r="FL1">
        <f t="shared" si="2"/>
        <v>167</v>
      </c>
      <c r="FM1">
        <f t="shared" si="2"/>
        <v>168</v>
      </c>
      <c r="FN1">
        <f t="shared" si="2"/>
        <v>169</v>
      </c>
      <c r="FO1">
        <f t="shared" si="2"/>
        <v>170</v>
      </c>
      <c r="FP1">
        <f t="shared" si="2"/>
        <v>171</v>
      </c>
      <c r="FQ1">
        <f t="shared" si="2"/>
        <v>172</v>
      </c>
      <c r="FR1">
        <f t="shared" si="2"/>
        <v>173</v>
      </c>
      <c r="FS1">
        <f t="shared" si="2"/>
        <v>174</v>
      </c>
      <c r="FT1">
        <f t="shared" si="2"/>
        <v>175</v>
      </c>
      <c r="FU1">
        <f t="shared" si="2"/>
        <v>176</v>
      </c>
      <c r="FV1">
        <f t="shared" si="2"/>
        <v>177</v>
      </c>
      <c r="FW1">
        <f t="shared" si="2"/>
        <v>178</v>
      </c>
      <c r="FX1">
        <f t="shared" si="2"/>
        <v>179</v>
      </c>
      <c r="FY1">
        <f t="shared" si="2"/>
        <v>180</v>
      </c>
      <c r="FZ1">
        <f t="shared" si="2"/>
        <v>181</v>
      </c>
      <c r="GA1">
        <f t="shared" si="2"/>
        <v>182</v>
      </c>
      <c r="GB1">
        <f t="shared" si="2"/>
        <v>183</v>
      </c>
      <c r="GC1">
        <f t="shared" si="2"/>
        <v>184</v>
      </c>
      <c r="GD1">
        <f t="shared" si="2"/>
        <v>185</v>
      </c>
      <c r="GE1">
        <f t="shared" si="2"/>
        <v>186</v>
      </c>
      <c r="GF1">
        <f t="shared" si="2"/>
        <v>187</v>
      </c>
      <c r="GG1">
        <f t="shared" si="2"/>
        <v>188</v>
      </c>
      <c r="GH1">
        <f t="shared" si="2"/>
        <v>189</v>
      </c>
      <c r="GI1">
        <f t="shared" si="2"/>
        <v>190</v>
      </c>
      <c r="GJ1">
        <f t="shared" si="2"/>
        <v>191</v>
      </c>
      <c r="GK1">
        <f t="shared" si="2"/>
        <v>192</v>
      </c>
      <c r="GL1">
        <f t="shared" si="2"/>
        <v>193</v>
      </c>
      <c r="GM1">
        <f t="shared" ref="GM1:IG1" si="3">GL1+1</f>
        <v>194</v>
      </c>
      <c r="GN1">
        <f t="shared" si="3"/>
        <v>195</v>
      </c>
      <c r="GO1">
        <f t="shared" si="3"/>
        <v>196</v>
      </c>
      <c r="GP1">
        <f t="shared" si="3"/>
        <v>197</v>
      </c>
      <c r="GQ1">
        <f t="shared" si="3"/>
        <v>198</v>
      </c>
      <c r="GR1">
        <f t="shared" si="3"/>
        <v>199</v>
      </c>
      <c r="GS1">
        <f t="shared" si="3"/>
        <v>200</v>
      </c>
      <c r="GT1">
        <f t="shared" si="3"/>
        <v>201</v>
      </c>
      <c r="GU1">
        <f t="shared" si="3"/>
        <v>202</v>
      </c>
      <c r="GV1">
        <f t="shared" si="3"/>
        <v>203</v>
      </c>
      <c r="GW1">
        <f t="shared" si="3"/>
        <v>204</v>
      </c>
      <c r="GX1">
        <f t="shared" si="3"/>
        <v>205</v>
      </c>
      <c r="GY1">
        <f t="shared" si="3"/>
        <v>206</v>
      </c>
      <c r="GZ1">
        <f t="shared" si="3"/>
        <v>207</v>
      </c>
      <c r="HA1">
        <f t="shared" si="3"/>
        <v>208</v>
      </c>
      <c r="HB1">
        <f t="shared" si="3"/>
        <v>209</v>
      </c>
      <c r="HC1">
        <f t="shared" si="3"/>
        <v>210</v>
      </c>
      <c r="HD1">
        <f t="shared" si="3"/>
        <v>211</v>
      </c>
      <c r="HE1">
        <f t="shared" si="3"/>
        <v>212</v>
      </c>
      <c r="HF1">
        <f t="shared" si="3"/>
        <v>213</v>
      </c>
      <c r="HG1">
        <f t="shared" si="3"/>
        <v>214</v>
      </c>
      <c r="HH1">
        <f t="shared" si="3"/>
        <v>215</v>
      </c>
      <c r="HI1">
        <f t="shared" si="3"/>
        <v>216</v>
      </c>
      <c r="HJ1">
        <f t="shared" si="3"/>
        <v>217</v>
      </c>
      <c r="HK1">
        <f t="shared" si="3"/>
        <v>218</v>
      </c>
      <c r="HL1">
        <f t="shared" si="3"/>
        <v>219</v>
      </c>
      <c r="HM1">
        <f t="shared" si="3"/>
        <v>220</v>
      </c>
      <c r="HN1">
        <f t="shared" si="3"/>
        <v>221</v>
      </c>
      <c r="HO1">
        <f t="shared" si="3"/>
        <v>222</v>
      </c>
      <c r="HP1">
        <f t="shared" si="3"/>
        <v>223</v>
      </c>
      <c r="HQ1">
        <f t="shared" si="3"/>
        <v>224</v>
      </c>
      <c r="HR1">
        <f t="shared" si="3"/>
        <v>225</v>
      </c>
      <c r="HS1">
        <f t="shared" si="3"/>
        <v>226</v>
      </c>
      <c r="HT1">
        <f t="shared" si="3"/>
        <v>227</v>
      </c>
      <c r="HU1">
        <f t="shared" si="3"/>
        <v>228</v>
      </c>
      <c r="HV1">
        <f t="shared" si="3"/>
        <v>229</v>
      </c>
      <c r="HW1">
        <f t="shared" si="3"/>
        <v>230</v>
      </c>
      <c r="HX1">
        <f t="shared" si="3"/>
        <v>231</v>
      </c>
      <c r="HY1">
        <f t="shared" si="3"/>
        <v>232</v>
      </c>
      <c r="HZ1">
        <f t="shared" si="3"/>
        <v>233</v>
      </c>
      <c r="IA1">
        <f t="shared" si="3"/>
        <v>234</v>
      </c>
      <c r="IB1">
        <f t="shared" si="3"/>
        <v>235</v>
      </c>
      <c r="IC1">
        <f t="shared" si="3"/>
        <v>236</v>
      </c>
      <c r="ID1">
        <f t="shared" si="3"/>
        <v>237</v>
      </c>
      <c r="IE1">
        <f t="shared" si="3"/>
        <v>238</v>
      </c>
      <c r="IF1">
        <f t="shared" si="3"/>
        <v>239</v>
      </c>
      <c r="IG1">
        <f t="shared" si="3"/>
        <v>240</v>
      </c>
    </row>
    <row r="2" spans="1:247" s="76" customFormat="1" x14ac:dyDescent="0.25">
      <c r="A2" s="106"/>
      <c r="B2" s="105">
        <v>42186</v>
      </c>
      <c r="C2" s="104">
        <v>42217</v>
      </c>
      <c r="D2" s="104">
        <v>42248</v>
      </c>
      <c r="E2" s="104">
        <v>42278</v>
      </c>
      <c r="F2" s="104">
        <v>42309</v>
      </c>
      <c r="G2" s="104">
        <v>42339</v>
      </c>
      <c r="H2" s="104">
        <v>42370</v>
      </c>
      <c r="I2" s="104">
        <v>42401</v>
      </c>
      <c r="J2" s="104">
        <v>42430</v>
      </c>
      <c r="K2" s="104">
        <v>42461</v>
      </c>
      <c r="L2" s="104">
        <v>42491</v>
      </c>
      <c r="M2" s="104">
        <v>42522</v>
      </c>
      <c r="N2" s="104">
        <v>42552</v>
      </c>
      <c r="O2" s="104">
        <v>42583</v>
      </c>
      <c r="P2" s="104">
        <v>42614</v>
      </c>
      <c r="Q2" s="104">
        <v>42644</v>
      </c>
      <c r="R2" s="104">
        <v>42675</v>
      </c>
      <c r="S2" s="104">
        <v>42705</v>
      </c>
      <c r="T2" s="104">
        <v>42736</v>
      </c>
      <c r="U2" s="104">
        <v>42767</v>
      </c>
      <c r="V2" s="104">
        <v>42795</v>
      </c>
      <c r="W2" s="104">
        <v>42826</v>
      </c>
      <c r="X2" s="104">
        <v>42856</v>
      </c>
      <c r="Y2" s="104">
        <v>42887</v>
      </c>
      <c r="Z2" s="104">
        <v>42917</v>
      </c>
      <c r="AA2" s="104">
        <v>42948</v>
      </c>
      <c r="AB2" s="104">
        <v>42979</v>
      </c>
      <c r="AC2" s="104">
        <v>43009</v>
      </c>
      <c r="AD2" s="104">
        <v>43040</v>
      </c>
      <c r="AE2" s="104">
        <v>43070</v>
      </c>
      <c r="AF2" s="104">
        <v>43101</v>
      </c>
      <c r="AG2" s="104">
        <v>43132</v>
      </c>
      <c r="AH2" s="104">
        <v>43160</v>
      </c>
      <c r="AI2" s="104">
        <v>43191</v>
      </c>
      <c r="AJ2" s="104">
        <v>43221</v>
      </c>
      <c r="AK2" s="104">
        <v>43252</v>
      </c>
      <c r="AL2" s="104">
        <v>43282</v>
      </c>
      <c r="AM2" s="104">
        <v>43313</v>
      </c>
      <c r="AN2" s="104">
        <v>43344</v>
      </c>
      <c r="AO2" s="104">
        <v>43374</v>
      </c>
      <c r="AP2" s="104">
        <v>43405</v>
      </c>
      <c r="AQ2" s="104">
        <v>43435</v>
      </c>
      <c r="AR2" s="104">
        <v>43466</v>
      </c>
      <c r="AS2" s="104">
        <v>43497</v>
      </c>
      <c r="AT2" s="104">
        <v>43525</v>
      </c>
      <c r="AU2" s="104">
        <v>43556</v>
      </c>
      <c r="AV2" s="104">
        <v>43586</v>
      </c>
      <c r="AW2" s="104">
        <v>43617</v>
      </c>
      <c r="AX2" s="104">
        <v>43647</v>
      </c>
      <c r="AY2" s="104">
        <v>43678</v>
      </c>
      <c r="AZ2" s="104">
        <v>43709</v>
      </c>
      <c r="BA2" s="104">
        <v>43739</v>
      </c>
      <c r="BB2" s="104">
        <v>43770</v>
      </c>
      <c r="BC2" s="104">
        <v>43800</v>
      </c>
      <c r="BD2" s="104">
        <v>43831</v>
      </c>
      <c r="BE2" s="104">
        <v>43862</v>
      </c>
      <c r="BF2" s="104">
        <v>43891</v>
      </c>
      <c r="BG2" s="104">
        <v>43922</v>
      </c>
      <c r="BH2" s="104">
        <v>43952</v>
      </c>
      <c r="BI2" s="104">
        <v>43983</v>
      </c>
      <c r="BJ2" s="104">
        <v>44013</v>
      </c>
      <c r="BK2" s="104">
        <v>44044</v>
      </c>
      <c r="BL2" s="104">
        <v>44075</v>
      </c>
      <c r="BM2" s="104">
        <v>44105</v>
      </c>
      <c r="BN2" s="104">
        <v>44136</v>
      </c>
      <c r="BO2" s="104">
        <v>44166</v>
      </c>
      <c r="BP2" s="104">
        <v>44197</v>
      </c>
      <c r="BQ2" s="104">
        <v>44228</v>
      </c>
      <c r="BR2" s="104">
        <v>44256</v>
      </c>
      <c r="BS2" s="104">
        <v>44287</v>
      </c>
      <c r="BT2" s="104">
        <v>44317</v>
      </c>
      <c r="BU2" s="104">
        <v>44348</v>
      </c>
      <c r="BV2" s="104">
        <v>44378</v>
      </c>
      <c r="BW2" s="104">
        <v>44409</v>
      </c>
      <c r="BX2" s="104">
        <v>44440</v>
      </c>
      <c r="BY2" s="104">
        <v>44470</v>
      </c>
      <c r="BZ2" s="104">
        <v>44501</v>
      </c>
      <c r="CA2" s="104">
        <v>44531</v>
      </c>
      <c r="CB2" s="104">
        <v>44562</v>
      </c>
      <c r="CC2" s="104">
        <v>44593</v>
      </c>
      <c r="CD2" s="104">
        <v>44621</v>
      </c>
      <c r="CE2" s="104">
        <v>44652</v>
      </c>
      <c r="CF2" s="104">
        <v>44682</v>
      </c>
      <c r="CG2" s="104">
        <v>44713</v>
      </c>
      <c r="CH2" s="104">
        <v>44743</v>
      </c>
      <c r="CI2" s="104">
        <v>44774</v>
      </c>
      <c r="CJ2" s="104">
        <v>44805</v>
      </c>
      <c r="CK2" s="104">
        <v>44835</v>
      </c>
      <c r="CL2" s="104">
        <v>44866</v>
      </c>
      <c r="CM2" s="104">
        <v>44896</v>
      </c>
      <c r="CN2" s="104">
        <v>44927</v>
      </c>
      <c r="CO2" s="104">
        <v>44958</v>
      </c>
      <c r="CP2" s="104">
        <v>44986</v>
      </c>
      <c r="CQ2" s="104">
        <v>45017</v>
      </c>
      <c r="CR2" s="104">
        <v>45047</v>
      </c>
      <c r="CS2" s="104">
        <v>45078</v>
      </c>
      <c r="CT2" s="104">
        <v>45108</v>
      </c>
      <c r="CU2" s="104">
        <v>45139</v>
      </c>
      <c r="CV2" s="104">
        <v>45170</v>
      </c>
      <c r="CW2" s="104">
        <v>45200</v>
      </c>
      <c r="CX2" s="104">
        <v>45231</v>
      </c>
      <c r="CY2" s="104">
        <v>45261</v>
      </c>
      <c r="CZ2" s="104">
        <v>45292</v>
      </c>
      <c r="DA2" s="104">
        <v>45323</v>
      </c>
      <c r="DB2" s="104">
        <v>45352</v>
      </c>
      <c r="DC2" s="104">
        <v>45383</v>
      </c>
      <c r="DD2" s="104">
        <v>45413</v>
      </c>
      <c r="DE2" s="104">
        <v>45444</v>
      </c>
      <c r="DF2" s="104">
        <v>45474</v>
      </c>
      <c r="DG2" s="104">
        <v>45505</v>
      </c>
      <c r="DH2" s="104">
        <v>45536</v>
      </c>
      <c r="DI2" s="104">
        <v>45566</v>
      </c>
      <c r="DJ2" s="104">
        <v>45597</v>
      </c>
      <c r="DK2" s="104">
        <v>45627</v>
      </c>
      <c r="DL2" s="104">
        <v>45658</v>
      </c>
      <c r="DM2" s="104">
        <v>45689</v>
      </c>
      <c r="DN2" s="104">
        <v>45717</v>
      </c>
      <c r="DO2" s="104">
        <v>45748</v>
      </c>
      <c r="DP2" s="104">
        <v>45778</v>
      </c>
      <c r="DQ2" s="104">
        <v>45809</v>
      </c>
      <c r="DR2" s="104">
        <v>45839</v>
      </c>
      <c r="DS2" s="104">
        <v>45870</v>
      </c>
      <c r="DT2" s="104">
        <v>45901</v>
      </c>
      <c r="DU2" s="104">
        <v>45931</v>
      </c>
      <c r="DV2" s="104">
        <v>45962</v>
      </c>
      <c r="DW2" s="104">
        <v>45992</v>
      </c>
      <c r="DX2" s="104">
        <v>46023</v>
      </c>
      <c r="DY2" s="104">
        <v>46054</v>
      </c>
      <c r="DZ2" s="104">
        <v>46082</v>
      </c>
      <c r="EA2" s="104">
        <v>46113</v>
      </c>
      <c r="EB2" s="104">
        <v>46143</v>
      </c>
      <c r="EC2" s="104">
        <v>46174</v>
      </c>
      <c r="ED2" s="104">
        <v>46204</v>
      </c>
      <c r="EE2" s="104">
        <v>46235</v>
      </c>
      <c r="EF2" s="104">
        <v>46266</v>
      </c>
      <c r="EG2" s="104">
        <v>46296</v>
      </c>
      <c r="EH2" s="104">
        <v>46327</v>
      </c>
      <c r="EI2" s="104">
        <v>46357</v>
      </c>
      <c r="EJ2" s="104">
        <v>46388</v>
      </c>
      <c r="EK2" s="104">
        <v>46419</v>
      </c>
      <c r="EL2" s="104">
        <v>46447</v>
      </c>
      <c r="EM2" s="104">
        <v>46478</v>
      </c>
      <c r="EN2" s="104">
        <v>46508</v>
      </c>
      <c r="EO2" s="104">
        <v>46539</v>
      </c>
      <c r="EP2" s="104">
        <v>46569</v>
      </c>
      <c r="EQ2" s="104">
        <v>46600</v>
      </c>
      <c r="ER2" s="104">
        <v>46631</v>
      </c>
      <c r="ES2" s="104">
        <v>46661</v>
      </c>
      <c r="ET2" s="104">
        <v>46692</v>
      </c>
      <c r="EU2" s="104">
        <v>46722</v>
      </c>
      <c r="EV2" s="104">
        <v>46753</v>
      </c>
      <c r="EW2" s="104">
        <v>46784</v>
      </c>
      <c r="EX2" s="104">
        <v>46813</v>
      </c>
      <c r="EY2" s="104">
        <v>46844</v>
      </c>
      <c r="EZ2" s="104">
        <v>46874</v>
      </c>
      <c r="FA2" s="104">
        <v>46905</v>
      </c>
      <c r="FB2" s="104">
        <v>46935</v>
      </c>
      <c r="FC2" s="104">
        <v>46966</v>
      </c>
      <c r="FD2" s="104">
        <v>46997</v>
      </c>
      <c r="FE2" s="104">
        <v>47027</v>
      </c>
      <c r="FF2" s="104">
        <v>47058</v>
      </c>
      <c r="FG2" s="104">
        <v>47088</v>
      </c>
      <c r="FH2" s="104">
        <v>47119</v>
      </c>
      <c r="FI2" s="104">
        <v>47150</v>
      </c>
      <c r="FJ2" s="104">
        <v>47178</v>
      </c>
      <c r="FK2" s="104">
        <v>47209</v>
      </c>
      <c r="FL2" s="104">
        <v>47239</v>
      </c>
      <c r="FM2" s="104">
        <v>47270</v>
      </c>
      <c r="FN2" s="104">
        <v>47300</v>
      </c>
      <c r="FO2" s="104">
        <v>47331</v>
      </c>
      <c r="FP2" s="104">
        <v>47362</v>
      </c>
      <c r="FQ2" s="104">
        <v>47392</v>
      </c>
      <c r="FR2" s="104">
        <v>47423</v>
      </c>
      <c r="FS2" s="104">
        <v>47453</v>
      </c>
      <c r="FT2" s="104">
        <v>47484</v>
      </c>
      <c r="FU2" s="104">
        <v>47515</v>
      </c>
      <c r="FV2" s="104">
        <v>47543</v>
      </c>
      <c r="FW2" s="104">
        <v>47574</v>
      </c>
      <c r="FX2" s="104">
        <v>47604</v>
      </c>
      <c r="FY2" s="104">
        <v>47635</v>
      </c>
      <c r="FZ2" s="104">
        <v>47665</v>
      </c>
      <c r="GA2" s="104">
        <v>47696</v>
      </c>
      <c r="GB2" s="104">
        <v>47727</v>
      </c>
      <c r="GC2" s="104">
        <v>47757</v>
      </c>
      <c r="GD2" s="104">
        <v>47788</v>
      </c>
      <c r="GE2" s="104">
        <v>47818</v>
      </c>
      <c r="GF2" s="104">
        <v>47849</v>
      </c>
      <c r="GG2" s="104">
        <v>47880</v>
      </c>
      <c r="GH2" s="104">
        <v>47908</v>
      </c>
      <c r="GI2" s="104">
        <v>47939</v>
      </c>
      <c r="GJ2" s="104">
        <v>47969</v>
      </c>
      <c r="GK2" s="104">
        <v>48000</v>
      </c>
      <c r="GL2" s="104">
        <v>48030</v>
      </c>
      <c r="GM2" s="104">
        <v>48061</v>
      </c>
      <c r="GN2" s="104">
        <v>48092</v>
      </c>
      <c r="GO2" s="104">
        <v>48122</v>
      </c>
      <c r="GP2" s="104">
        <v>48153</v>
      </c>
      <c r="GQ2" s="104">
        <v>48183</v>
      </c>
      <c r="GR2" s="104">
        <v>48214</v>
      </c>
      <c r="GS2" s="104">
        <v>48245</v>
      </c>
      <c r="GT2" s="104">
        <v>48274</v>
      </c>
      <c r="GU2" s="104">
        <v>48305</v>
      </c>
      <c r="GV2" s="104">
        <v>48335</v>
      </c>
      <c r="GW2" s="104">
        <v>48366</v>
      </c>
      <c r="GX2" s="104">
        <v>48396</v>
      </c>
      <c r="GY2" s="104">
        <v>48427</v>
      </c>
      <c r="GZ2" s="104">
        <v>48458</v>
      </c>
      <c r="HA2" s="104">
        <v>48488</v>
      </c>
      <c r="HB2" s="104">
        <v>48519</v>
      </c>
      <c r="HC2" s="104">
        <v>48549</v>
      </c>
      <c r="HD2" s="104">
        <v>48580</v>
      </c>
      <c r="HE2" s="104">
        <v>48611</v>
      </c>
      <c r="HF2" s="104">
        <v>48639</v>
      </c>
      <c r="HG2" s="104">
        <v>48670</v>
      </c>
      <c r="HH2" s="104">
        <v>48700</v>
      </c>
      <c r="HI2" s="104">
        <v>48731</v>
      </c>
      <c r="HJ2" s="104">
        <v>48761</v>
      </c>
      <c r="HK2" s="104">
        <v>48792</v>
      </c>
      <c r="HL2" s="104">
        <v>48823</v>
      </c>
      <c r="HM2" s="104">
        <v>48853</v>
      </c>
      <c r="HN2" s="104">
        <v>48884</v>
      </c>
      <c r="HO2" s="104">
        <v>48914</v>
      </c>
      <c r="HP2" s="104">
        <v>48945</v>
      </c>
      <c r="HQ2" s="104">
        <v>48976</v>
      </c>
      <c r="HR2" s="104">
        <v>49004</v>
      </c>
      <c r="HS2" s="104">
        <v>49035</v>
      </c>
      <c r="HT2" s="104">
        <v>49065</v>
      </c>
      <c r="HU2" s="104">
        <v>49096</v>
      </c>
      <c r="HV2" s="104">
        <v>49126</v>
      </c>
      <c r="HW2" s="104">
        <v>49157</v>
      </c>
      <c r="HX2" s="104">
        <v>49188</v>
      </c>
      <c r="HY2" s="104">
        <v>49218</v>
      </c>
      <c r="HZ2" s="104">
        <v>49249</v>
      </c>
      <c r="IA2" s="104">
        <v>49279</v>
      </c>
      <c r="IB2" s="104">
        <v>49310</v>
      </c>
      <c r="IC2" s="104">
        <v>49341</v>
      </c>
      <c r="ID2" s="104">
        <v>49369</v>
      </c>
      <c r="IE2" s="104">
        <v>49400</v>
      </c>
      <c r="IF2" s="104">
        <v>49430</v>
      </c>
      <c r="IG2" s="104">
        <v>49461</v>
      </c>
      <c r="IH2" s="104"/>
      <c r="II2" s="104"/>
      <c r="IJ2" s="104"/>
      <c r="IK2" s="104"/>
      <c r="IL2" s="104"/>
      <c r="IM2" s="104"/>
    </row>
    <row r="3" spans="1:247" ht="15" customHeight="1" x14ac:dyDescent="0.25">
      <c r="A3" s="94" t="s">
        <v>337</v>
      </c>
      <c r="B3" s="83">
        <f>-'Вхідні дані'!B18</f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</row>
    <row r="4" spans="1:247" x14ac:dyDescent="0.25">
      <c r="A4" s="94" t="s">
        <v>336</v>
      </c>
      <c r="B4" s="83">
        <f>-'Вхідні дані'!B23</f>
        <v>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</row>
    <row r="5" spans="1:247" x14ac:dyDescent="0.25">
      <c r="A5" s="94" t="s">
        <v>335</v>
      </c>
      <c r="B5" s="83">
        <f>B3+B4</f>
        <v>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</row>
    <row r="6" spans="1:247" x14ac:dyDescent="0.25">
      <c r="A6" s="94" t="s">
        <v>334</v>
      </c>
      <c r="B6" s="103"/>
      <c r="C6" s="103"/>
      <c r="D6" s="103"/>
      <c r="E6" s="83">
        <f>'Вхідні дані'!B30</f>
        <v>-155622.26169021041</v>
      </c>
      <c r="F6" s="83">
        <f t="shared" ref="F6:AK6" si="4">E6</f>
        <v>-155622.26169021041</v>
      </c>
      <c r="G6" s="83">
        <f t="shared" si="4"/>
        <v>-155622.26169021041</v>
      </c>
      <c r="H6" s="83">
        <f t="shared" si="4"/>
        <v>-155622.26169021041</v>
      </c>
      <c r="I6" s="83">
        <f t="shared" si="4"/>
        <v>-155622.26169021041</v>
      </c>
      <c r="J6" s="83">
        <f t="shared" si="4"/>
        <v>-155622.26169021041</v>
      </c>
      <c r="K6" s="83">
        <f t="shared" si="4"/>
        <v>-155622.26169021041</v>
      </c>
      <c r="L6" s="83">
        <f t="shared" si="4"/>
        <v>-155622.26169021041</v>
      </c>
      <c r="M6" s="83">
        <f t="shared" si="4"/>
        <v>-155622.26169021041</v>
      </c>
      <c r="N6" s="83">
        <f t="shared" si="4"/>
        <v>-155622.26169021041</v>
      </c>
      <c r="O6" s="83">
        <f t="shared" si="4"/>
        <v>-155622.26169021041</v>
      </c>
      <c r="P6" s="83">
        <f t="shared" si="4"/>
        <v>-155622.26169021041</v>
      </c>
      <c r="Q6" s="83">
        <f t="shared" si="4"/>
        <v>-155622.26169021041</v>
      </c>
      <c r="R6" s="83">
        <f t="shared" si="4"/>
        <v>-155622.26169021041</v>
      </c>
      <c r="S6" s="83">
        <f t="shared" si="4"/>
        <v>-155622.26169021041</v>
      </c>
      <c r="T6" s="83">
        <f t="shared" si="4"/>
        <v>-155622.26169021041</v>
      </c>
      <c r="U6" s="83">
        <f t="shared" si="4"/>
        <v>-155622.26169021041</v>
      </c>
      <c r="V6" s="83">
        <f t="shared" si="4"/>
        <v>-155622.26169021041</v>
      </c>
      <c r="W6" s="83">
        <f t="shared" si="4"/>
        <v>-155622.26169021041</v>
      </c>
      <c r="X6" s="83">
        <f t="shared" si="4"/>
        <v>-155622.26169021041</v>
      </c>
      <c r="Y6" s="83">
        <f t="shared" si="4"/>
        <v>-155622.26169021041</v>
      </c>
      <c r="Z6" s="83">
        <f t="shared" si="4"/>
        <v>-155622.26169021041</v>
      </c>
      <c r="AA6" s="83">
        <f t="shared" si="4"/>
        <v>-155622.26169021041</v>
      </c>
      <c r="AB6" s="83">
        <f t="shared" si="4"/>
        <v>-155622.26169021041</v>
      </c>
      <c r="AC6" s="83">
        <f t="shared" si="4"/>
        <v>-155622.26169021041</v>
      </c>
      <c r="AD6" s="83">
        <f t="shared" si="4"/>
        <v>-155622.26169021041</v>
      </c>
      <c r="AE6" s="83">
        <f t="shared" si="4"/>
        <v>-155622.26169021041</v>
      </c>
      <c r="AF6" s="83">
        <f t="shared" si="4"/>
        <v>-155622.26169021041</v>
      </c>
      <c r="AG6" s="83">
        <f t="shared" si="4"/>
        <v>-155622.26169021041</v>
      </c>
      <c r="AH6" s="83">
        <f t="shared" si="4"/>
        <v>-155622.26169021041</v>
      </c>
      <c r="AI6" s="83">
        <f t="shared" si="4"/>
        <v>-155622.26169021041</v>
      </c>
      <c r="AJ6" s="83">
        <f t="shared" si="4"/>
        <v>-155622.26169021041</v>
      </c>
      <c r="AK6" s="83">
        <f t="shared" si="4"/>
        <v>-155622.26169021041</v>
      </c>
      <c r="AL6" s="83">
        <f t="shared" ref="AL6:BL6" si="5">AK6</f>
        <v>-155622.26169021041</v>
      </c>
      <c r="AM6" s="83">
        <f t="shared" si="5"/>
        <v>-155622.26169021041</v>
      </c>
      <c r="AN6" s="83">
        <f t="shared" si="5"/>
        <v>-155622.26169021041</v>
      </c>
      <c r="AO6" s="83">
        <f t="shared" si="5"/>
        <v>-155622.26169021041</v>
      </c>
      <c r="AP6" s="83">
        <f t="shared" si="5"/>
        <v>-155622.26169021041</v>
      </c>
      <c r="AQ6" s="83">
        <f t="shared" si="5"/>
        <v>-155622.26169021041</v>
      </c>
      <c r="AR6" s="83">
        <f t="shared" si="5"/>
        <v>-155622.26169021041</v>
      </c>
      <c r="AS6" s="83">
        <f t="shared" si="5"/>
        <v>-155622.26169021041</v>
      </c>
      <c r="AT6" s="83">
        <f t="shared" si="5"/>
        <v>-155622.26169021041</v>
      </c>
      <c r="AU6" s="83">
        <f t="shared" si="5"/>
        <v>-155622.26169021041</v>
      </c>
      <c r="AV6" s="83">
        <f t="shared" si="5"/>
        <v>-155622.26169021041</v>
      </c>
      <c r="AW6" s="83">
        <f t="shared" si="5"/>
        <v>-155622.26169021041</v>
      </c>
      <c r="AX6" s="83">
        <f t="shared" si="5"/>
        <v>-155622.26169021041</v>
      </c>
      <c r="AY6" s="83">
        <f t="shared" si="5"/>
        <v>-155622.26169021041</v>
      </c>
      <c r="AZ6" s="83">
        <f t="shared" si="5"/>
        <v>-155622.26169021041</v>
      </c>
      <c r="BA6" s="83">
        <f t="shared" si="5"/>
        <v>-155622.26169021041</v>
      </c>
      <c r="BB6" s="83">
        <f t="shared" si="5"/>
        <v>-155622.26169021041</v>
      </c>
      <c r="BC6" s="83">
        <f t="shared" si="5"/>
        <v>-155622.26169021041</v>
      </c>
      <c r="BD6" s="83">
        <f t="shared" si="5"/>
        <v>-155622.26169021041</v>
      </c>
      <c r="BE6" s="83">
        <f t="shared" si="5"/>
        <v>-155622.26169021041</v>
      </c>
      <c r="BF6" s="83">
        <f t="shared" si="5"/>
        <v>-155622.26169021041</v>
      </c>
      <c r="BG6" s="83">
        <f t="shared" si="5"/>
        <v>-155622.26169021041</v>
      </c>
      <c r="BH6" s="83">
        <f t="shared" si="5"/>
        <v>-155622.26169021041</v>
      </c>
      <c r="BI6" s="83">
        <f t="shared" si="5"/>
        <v>-155622.26169021041</v>
      </c>
      <c r="BJ6" s="83">
        <f t="shared" si="5"/>
        <v>-155622.26169021041</v>
      </c>
      <c r="BK6" s="83">
        <f t="shared" si="5"/>
        <v>-155622.26169021041</v>
      </c>
      <c r="BL6" s="83">
        <f t="shared" si="5"/>
        <v>-155622.26169021041</v>
      </c>
      <c r="BM6" s="83"/>
      <c r="BN6" s="83"/>
      <c r="BO6" s="83"/>
    </row>
    <row r="7" spans="1:247" x14ac:dyDescent="0.25">
      <c r="A7" s="94" t="s">
        <v>333</v>
      </c>
      <c r="B7" s="83"/>
      <c r="C7" s="83"/>
      <c r="D7" s="83"/>
      <c r="E7" s="83">
        <v>14</v>
      </c>
      <c r="F7" s="83">
        <v>30</v>
      </c>
      <c r="G7" s="83">
        <v>31</v>
      </c>
      <c r="H7" s="83">
        <v>31</v>
      </c>
      <c r="I7" s="83">
        <v>29</v>
      </c>
      <c r="J7" s="83">
        <v>31</v>
      </c>
      <c r="K7" s="83">
        <v>13</v>
      </c>
      <c r="L7" s="83"/>
      <c r="M7" s="83"/>
      <c r="N7" s="83"/>
      <c r="O7" s="83"/>
      <c r="P7" s="83"/>
      <c r="Q7" s="83">
        <v>14</v>
      </c>
      <c r="R7" s="83">
        <v>30</v>
      </c>
      <c r="S7" s="83">
        <v>31</v>
      </c>
      <c r="T7" s="83">
        <v>31</v>
      </c>
      <c r="U7" s="83">
        <v>28</v>
      </c>
      <c r="V7" s="83">
        <v>31</v>
      </c>
      <c r="W7" s="83">
        <v>14</v>
      </c>
      <c r="X7" s="83"/>
      <c r="Y7" s="83"/>
      <c r="Z7" s="83"/>
      <c r="AA7" s="83"/>
      <c r="AB7" s="83"/>
      <c r="AC7" s="83">
        <v>14</v>
      </c>
      <c r="AD7" s="83">
        <v>30</v>
      </c>
      <c r="AE7" s="83">
        <v>31</v>
      </c>
      <c r="AF7" s="83">
        <v>31</v>
      </c>
      <c r="AG7" s="83">
        <v>28</v>
      </c>
      <c r="AH7" s="83">
        <v>31</v>
      </c>
      <c r="AI7" s="83">
        <v>14</v>
      </c>
      <c r="AJ7" s="83"/>
      <c r="AK7" s="83"/>
      <c r="AL7" s="83"/>
      <c r="AM7" s="83"/>
      <c r="AN7" s="83"/>
      <c r="AO7" s="83">
        <v>14</v>
      </c>
      <c r="AP7" s="83">
        <v>30</v>
      </c>
      <c r="AQ7" s="83">
        <v>31</v>
      </c>
      <c r="AR7" s="83">
        <v>31</v>
      </c>
      <c r="AS7" s="83">
        <v>28</v>
      </c>
      <c r="AT7" s="83">
        <v>31</v>
      </c>
      <c r="AU7" s="83">
        <v>14</v>
      </c>
      <c r="AV7" s="83"/>
      <c r="AW7" s="83"/>
      <c r="AX7" s="83"/>
      <c r="AY7" s="83"/>
      <c r="AZ7" s="83"/>
      <c r="BA7" s="83">
        <v>14</v>
      </c>
      <c r="BB7" s="83">
        <v>30</v>
      </c>
      <c r="BC7" s="83">
        <v>31</v>
      </c>
      <c r="BD7" s="83">
        <v>31</v>
      </c>
      <c r="BE7" s="83">
        <v>29</v>
      </c>
      <c r="BF7" s="83">
        <v>31</v>
      </c>
      <c r="BG7" s="83">
        <v>13</v>
      </c>
      <c r="BH7" s="83"/>
      <c r="BI7" s="83"/>
      <c r="BJ7" s="83"/>
      <c r="BK7" s="83"/>
      <c r="BL7" s="83"/>
      <c r="BM7" s="83">
        <v>14</v>
      </c>
      <c r="BN7" s="83">
        <v>30</v>
      </c>
      <c r="BO7" s="83">
        <v>31</v>
      </c>
      <c r="BP7" s="83">
        <v>31</v>
      </c>
      <c r="BQ7" s="83">
        <v>29</v>
      </c>
      <c r="BR7" s="83">
        <v>31</v>
      </c>
      <c r="BS7" s="83">
        <v>13</v>
      </c>
      <c r="BY7" s="83">
        <v>14</v>
      </c>
      <c r="BZ7" s="83">
        <v>30</v>
      </c>
      <c r="CA7" s="83">
        <v>31</v>
      </c>
      <c r="CB7" s="83">
        <v>31</v>
      </c>
      <c r="CC7" s="83">
        <v>29</v>
      </c>
      <c r="CD7" s="83">
        <v>31</v>
      </c>
      <c r="CE7" s="83">
        <v>13</v>
      </c>
      <c r="CK7" s="83">
        <v>14</v>
      </c>
      <c r="CL7" s="83">
        <v>30</v>
      </c>
      <c r="CM7" s="83">
        <v>31</v>
      </c>
      <c r="CN7" s="83">
        <v>31</v>
      </c>
      <c r="CO7" s="83">
        <v>29</v>
      </c>
      <c r="CP7" s="83">
        <v>31</v>
      </c>
      <c r="CQ7" s="83">
        <v>13</v>
      </c>
      <c r="CW7" s="83">
        <v>14</v>
      </c>
      <c r="CX7" s="83">
        <v>30</v>
      </c>
      <c r="CY7" s="83">
        <v>31</v>
      </c>
      <c r="CZ7" s="83">
        <v>31</v>
      </c>
      <c r="DA7" s="83">
        <v>29</v>
      </c>
      <c r="DB7" s="83">
        <v>31</v>
      </c>
      <c r="DC7" s="83">
        <v>13</v>
      </c>
      <c r="DI7" s="83">
        <v>14</v>
      </c>
      <c r="DJ7" s="83">
        <v>30</v>
      </c>
      <c r="DK7" s="83">
        <v>31</v>
      </c>
      <c r="DL7" s="83">
        <v>31</v>
      </c>
      <c r="DM7" s="83">
        <v>29</v>
      </c>
      <c r="DN7" s="83">
        <v>31</v>
      </c>
      <c r="DO7" s="83">
        <v>13</v>
      </c>
      <c r="DU7" s="83">
        <v>14</v>
      </c>
      <c r="DV7" s="83">
        <v>30</v>
      </c>
      <c r="DW7" s="83">
        <v>31</v>
      </c>
      <c r="DX7" s="83">
        <v>31</v>
      </c>
      <c r="DY7" s="83">
        <v>29</v>
      </c>
      <c r="DZ7" s="83">
        <v>31</v>
      </c>
      <c r="EA7" s="83">
        <v>13</v>
      </c>
      <c r="EG7" s="83">
        <v>14</v>
      </c>
      <c r="EH7" s="83">
        <v>30</v>
      </c>
      <c r="EI7" s="83">
        <v>31</v>
      </c>
      <c r="EJ7" s="83">
        <v>31</v>
      </c>
      <c r="EK7" s="83">
        <v>29</v>
      </c>
      <c r="EL7" s="83">
        <v>31</v>
      </c>
      <c r="EM7" s="83">
        <v>13</v>
      </c>
      <c r="ES7" s="83">
        <v>14</v>
      </c>
      <c r="ET7" s="83">
        <v>30</v>
      </c>
      <c r="EU7" s="83">
        <v>31</v>
      </c>
      <c r="EV7" s="83">
        <v>31</v>
      </c>
      <c r="EW7" s="83">
        <v>29</v>
      </c>
      <c r="EX7" s="83">
        <v>31</v>
      </c>
      <c r="EY7" s="83">
        <v>13</v>
      </c>
      <c r="FE7" s="83">
        <v>14</v>
      </c>
      <c r="FF7" s="83">
        <v>30</v>
      </c>
      <c r="FG7" s="83">
        <v>31</v>
      </c>
      <c r="FH7" s="83">
        <v>31</v>
      </c>
      <c r="FI7" s="83">
        <v>29</v>
      </c>
      <c r="FJ7" s="83">
        <v>31</v>
      </c>
      <c r="FK7" s="83">
        <v>13</v>
      </c>
      <c r="FQ7" s="83">
        <v>14</v>
      </c>
      <c r="FR7" s="83">
        <v>30</v>
      </c>
      <c r="FS7" s="83">
        <v>31</v>
      </c>
      <c r="FT7" s="83">
        <v>31</v>
      </c>
      <c r="FU7" s="83">
        <v>29</v>
      </c>
      <c r="FV7" s="83">
        <v>31</v>
      </c>
      <c r="FW7" s="83">
        <v>13</v>
      </c>
      <c r="GC7" s="83">
        <v>14</v>
      </c>
      <c r="GD7" s="83">
        <v>30</v>
      </c>
      <c r="GE7" s="83">
        <v>31</v>
      </c>
      <c r="GF7" s="83">
        <v>31</v>
      </c>
      <c r="GG7" s="83">
        <v>29</v>
      </c>
      <c r="GH7" s="83">
        <v>31</v>
      </c>
      <c r="GI7" s="83">
        <v>13</v>
      </c>
      <c r="GO7" s="83">
        <v>14</v>
      </c>
      <c r="GP7" s="83">
        <v>30</v>
      </c>
      <c r="GQ7" s="83">
        <v>31</v>
      </c>
      <c r="GR7" s="83">
        <v>31</v>
      </c>
      <c r="GS7" s="83">
        <v>29</v>
      </c>
      <c r="GT7" s="83">
        <v>31</v>
      </c>
      <c r="GU7" s="83">
        <v>13</v>
      </c>
      <c r="HA7" s="83">
        <v>14</v>
      </c>
      <c r="HB7" s="83">
        <v>30</v>
      </c>
      <c r="HC7" s="83">
        <v>31</v>
      </c>
      <c r="HD7" s="83">
        <v>31</v>
      </c>
      <c r="HE7" s="83">
        <v>29</v>
      </c>
      <c r="HF7" s="83">
        <v>31</v>
      </c>
      <c r="HG7" s="83">
        <v>13</v>
      </c>
      <c r="HM7" s="83">
        <v>14</v>
      </c>
      <c r="HN7" s="83">
        <v>30</v>
      </c>
      <c r="HO7" s="83">
        <v>31</v>
      </c>
      <c r="HP7" s="83">
        <v>31</v>
      </c>
      <c r="HQ7" s="83">
        <v>29</v>
      </c>
      <c r="HR7" s="83">
        <v>31</v>
      </c>
      <c r="HS7" s="83">
        <v>13</v>
      </c>
      <c r="HY7" s="83">
        <v>14</v>
      </c>
      <c r="HZ7" s="83">
        <v>30</v>
      </c>
      <c r="IA7" s="83">
        <v>31</v>
      </c>
      <c r="IB7" s="83">
        <v>31</v>
      </c>
      <c r="IC7" s="83">
        <v>29</v>
      </c>
      <c r="ID7" s="83">
        <v>31</v>
      </c>
      <c r="IE7" s="83">
        <v>13</v>
      </c>
    </row>
    <row r="8" spans="1:247" ht="30" x14ac:dyDescent="0.25">
      <c r="A8" s="94" t="s">
        <v>332</v>
      </c>
      <c r="B8" s="83"/>
      <c r="C8" s="83"/>
      <c r="D8" s="83"/>
      <c r="E8" s="83">
        <f>-'Вхідні дані'!$B$2/'Вхідні дані'!$B$42*'Фінансовий потік'!E7*'Вхідні дані'!$B$7</f>
        <v>-40678.111587982836</v>
      </c>
      <c r="F8" s="83">
        <f>-'Вхідні дані'!$B$2/'Вхідні дані'!$B$42*'Фінансовий потік'!F7*'Вхідні дані'!$B$7</f>
        <v>-87167.381974248929</v>
      </c>
      <c r="G8" s="83">
        <f>-'Вхідні дані'!$B$2/'Вхідні дані'!$B$42*'Фінансовий потік'!G7*'Вхідні дані'!$B$7</f>
        <v>-90072.961373390557</v>
      </c>
      <c r="H8" s="83">
        <f>-'Вхідні дані'!$B$2/'Вхідні дані'!$B$42*'Фінансовий потік'!H7*'Вхідні дані'!$B$7</f>
        <v>-90072.961373390557</v>
      </c>
      <c r="I8" s="83">
        <f>-'Вхідні дані'!$B$2/'Вхідні дані'!$B$42*'Фінансовий потік'!I7*'Вхідні дані'!$B$7</f>
        <v>-84261.8025751073</v>
      </c>
      <c r="J8" s="83">
        <f>-'Вхідні дані'!$B$2/'Вхідні дані'!$B$42*'Фінансовий потік'!J7*'Вхідні дані'!$B$7</f>
        <v>-90072.961373390557</v>
      </c>
      <c r="K8" s="83">
        <f>-'Вхідні дані'!$B$2/'Вхідні дані'!$B$42*'Фінансовий потік'!K7*'Вхідні дані'!$B$7</f>
        <v>-37772.532188841207</v>
      </c>
      <c r="L8" s="83">
        <f>-'Вхідні дані'!$B$2/'Вхідні дані'!$B$42*'Фінансовий потік'!L7*'Вхідні дані'!$B$7</f>
        <v>0</v>
      </c>
      <c r="M8" s="83">
        <f>-'Вхідні дані'!$B$2/'Вхідні дані'!$B$42*'Фінансовий потік'!M7*'Вхідні дані'!$B$7</f>
        <v>0</v>
      </c>
      <c r="N8" s="83">
        <f>-'Вхідні дані'!$B$2/'Вхідні дані'!$B$42*'Фінансовий потік'!N7*'Вхідні дані'!$B$7</f>
        <v>0</v>
      </c>
      <c r="O8" s="83">
        <f>-'Вхідні дані'!$B$2/'Вхідні дані'!$B$42*'Фінансовий потік'!O7*'Вхідні дані'!$B$7</f>
        <v>0</v>
      </c>
      <c r="P8" s="83">
        <f>-'Вхідні дані'!$B$2/'Вхідні дані'!$B$42*'Фінансовий потік'!P7*'Вхідні дані'!$B$7</f>
        <v>0</v>
      </c>
      <c r="Q8" s="83">
        <f>-'Вхідні дані'!$B$2/'Вхідні дані'!$B$42*'Фінансовий потік'!Q7*'Вхідні дані'!$B$8</f>
        <v>-61017.16738197425</v>
      </c>
      <c r="R8" s="83">
        <f>-'Вхідні дані'!$B$2/'Вхідні дані'!$B$42*'Фінансовий потік'!R7*'Вхідні дані'!$B$8</f>
        <v>-130751.07296137339</v>
      </c>
      <c r="S8" s="83">
        <f>-'Вхідні дані'!$B$2/'Вхідні дані'!$B$42*'Фінансовий потік'!S7*'Вхідні дані'!$B$8</f>
        <v>-135109.44206008583</v>
      </c>
      <c r="T8" s="83">
        <f>-'Вхідні дані'!$B$2/'Вхідні дані'!$B$42*'Фінансовий потік'!T7*'Вхідні дані'!$B$8</f>
        <v>-135109.44206008583</v>
      </c>
      <c r="U8" s="83">
        <f>-'Вхідні дані'!$B$2/'Вхідні дані'!$B$42*'Фінансовий потік'!U7*'Вхідні дані'!$B$8</f>
        <v>-122034.3347639485</v>
      </c>
      <c r="V8" s="83">
        <f>-'Вхідні дані'!$B$2/'Вхідні дані'!$B$42*'Фінансовий потік'!V7*'Вхідні дані'!$B$8</f>
        <v>-135109.44206008583</v>
      </c>
      <c r="W8" s="83">
        <f>-'Вхідні дані'!$B$2/'Вхідні дані'!$B$42*'Фінансовий потік'!W7*'Вхідні дані'!$B$8</f>
        <v>-61017.16738197425</v>
      </c>
      <c r="X8" s="83">
        <f>-'Вхідні дані'!$B$2/'Вхідні дані'!$B$42*'Фінансовий потік'!X7*'Вхідні дані'!$B$8</f>
        <v>0</v>
      </c>
      <c r="Y8" s="83">
        <f>-'Вхідні дані'!$B$2/'Вхідні дані'!$B$42*'Фінансовий потік'!Y7*'Вхідні дані'!$B$8</f>
        <v>0</v>
      </c>
      <c r="Z8" s="83">
        <f>-'Вхідні дані'!$B$2/'Вхідні дані'!$B$42*'Фінансовий потік'!Z7*'Вхідні дані'!$B$8</f>
        <v>0</v>
      </c>
      <c r="AA8" s="83">
        <f>-'Вхідні дані'!$B$2/'Вхідні дані'!$B$42*'Фінансовий потік'!AA7*'Вхідні дані'!$B$8</f>
        <v>0</v>
      </c>
      <c r="AB8" s="83">
        <f>-'Вхідні дані'!$B$2/'Вхідні дані'!$B$42*'Фінансовий потік'!AB7*'Вхідні дані'!$B$8</f>
        <v>0</v>
      </c>
      <c r="AC8" s="83">
        <f>-'Вхідні дані'!$B$2/'Вхідні дані'!$B$42*'Фінансовий потік'!AC7*'Вхідні дані'!$B$9</f>
        <v>-91525.751072961371</v>
      </c>
      <c r="AD8" s="83">
        <f>-'Вхідні дані'!$B$2/'Вхідні дані'!$B$42*'Фінансовий потік'!AD7*'Вхідні дані'!$B$9</f>
        <v>-196126.60944206009</v>
      </c>
      <c r="AE8" s="83">
        <f>-'Вхідні дані'!$B$2/'Вхідні дані'!$B$42*'Фінансовий потік'!AE7*'Вхідні дані'!$B$9</f>
        <v>-202664.16309012874</v>
      </c>
      <c r="AF8" s="83">
        <f>-'Вхідні дані'!$B$2/'Вхідні дані'!$B$42*'Фінансовий потік'!AF7*'Вхідні дані'!$B$9</f>
        <v>-202664.16309012874</v>
      </c>
      <c r="AG8" s="83">
        <f>-'Вхідні дані'!$B$2/'Вхідні дані'!$B$42*'Фінансовий потік'!AG7*'Вхідні дані'!$B$9</f>
        <v>-183051.50214592274</v>
      </c>
      <c r="AH8" s="83">
        <f>-'Вхідні дані'!$B$2/'Вхідні дані'!$B$42*'Фінансовий потік'!AH7*'Вхідні дані'!$B$9</f>
        <v>-202664.16309012874</v>
      </c>
      <c r="AI8" s="83">
        <f>-'Вхідні дані'!$B$2/'Вхідні дані'!$B$42*'Фінансовий потік'!AI7*'Вхідні дані'!$B$9</f>
        <v>-91525.751072961371</v>
      </c>
      <c r="AJ8" s="83">
        <f>-'Вхідні дані'!$B$2/'Вхідні дані'!$B$42*'Фінансовий потік'!AJ7*'Вхідні дані'!$B$9</f>
        <v>0</v>
      </c>
      <c r="AK8" s="83">
        <f>-'Вхідні дані'!$B$2/'Вхідні дані'!$B$42*'Фінансовий потік'!AK7*'Вхідні дані'!$B$9</f>
        <v>0</v>
      </c>
      <c r="AL8" s="83">
        <f>-'Вхідні дані'!$B$2/'Вхідні дані'!$B$42*'Фінансовий потік'!AL7*'Вхідні дані'!$B$9</f>
        <v>0</v>
      </c>
      <c r="AM8" s="83">
        <f>-'Вхідні дані'!$B$2/'Вхідні дані'!$B$42*'Фінансовий потік'!AM7*'Вхідні дані'!$B$9</f>
        <v>0</v>
      </c>
      <c r="AN8" s="83">
        <f>-'Вхідні дані'!$B$2/'Вхідні дані'!$B$42*'Фінансовий потік'!AN7*'Вхідні дані'!$B$9</f>
        <v>0</v>
      </c>
      <c r="AO8" s="83">
        <f>-'Вхідні дані'!$B$2/'Вхідні дані'!$B$42*'Фінансовий потік'!AO7*'Вхідні дані'!$B$9</f>
        <v>-91525.751072961371</v>
      </c>
      <c r="AP8" s="83">
        <f>-'Вхідні дані'!$B$2/'Вхідні дані'!$B$42*'Фінансовий потік'!AP7*'Вхідні дані'!$B$9</f>
        <v>-196126.60944206009</v>
      </c>
      <c r="AQ8" s="83">
        <f>-'Вхідні дані'!$B$2/'Вхідні дані'!$B$42*'Фінансовий потік'!AQ7*'Вхідні дані'!$B$9</f>
        <v>-202664.16309012874</v>
      </c>
      <c r="AR8" s="83">
        <f>-'Вхідні дані'!$B$2/'Вхідні дані'!$B$42*'Фінансовий потік'!AR7*'Вхідні дані'!$B$9</f>
        <v>-202664.16309012874</v>
      </c>
      <c r="AS8" s="83">
        <f>-'Вхідні дані'!$B$2/'Вхідні дані'!$B$42*'Фінансовий потік'!AS7*'Вхідні дані'!$B$9</f>
        <v>-183051.50214592274</v>
      </c>
      <c r="AT8" s="83">
        <f>-'Вхідні дані'!$B$2/'Вхідні дані'!$B$42*'Фінансовий потік'!AT7*'Вхідні дані'!$B$9</f>
        <v>-202664.16309012874</v>
      </c>
      <c r="AU8" s="83">
        <f>-'Вхідні дані'!$B$2/'Вхідні дані'!$B$42*'Фінансовий потік'!AU7*'Вхідні дані'!$B$9</f>
        <v>-91525.751072961371</v>
      </c>
      <c r="AV8" s="83">
        <f>-'Вхідні дані'!$B$2/'Вхідні дані'!$B$42*'Фінансовий потік'!AV7*'Вхідні дані'!$B$9</f>
        <v>0</v>
      </c>
      <c r="AW8" s="83">
        <f>-'Вхідні дані'!$B$2/'Вхідні дані'!$B$42*'Фінансовий потік'!AW7*'Вхідні дані'!$B$9</f>
        <v>0</v>
      </c>
      <c r="AX8" s="83">
        <f>-'Вхідні дані'!$B$2/'Вхідні дані'!$B$42*'Фінансовий потік'!AX7*'Вхідні дані'!$B$9</f>
        <v>0</v>
      </c>
      <c r="AY8" s="83">
        <f>-'Вхідні дані'!$B$2/'Вхідні дані'!$B$42*'Фінансовий потік'!AY7*'Вхідні дані'!$B$9</f>
        <v>0</v>
      </c>
      <c r="AZ8" s="83">
        <f>-'Вхідні дані'!$B$2/'Вхідні дані'!$B$42*'Фінансовий потік'!AZ7*'Вхідні дані'!$B$9</f>
        <v>0</v>
      </c>
      <c r="BA8" s="83">
        <f>-'Вхідні дані'!$B$2/'Вхідні дані'!$B$42*'Фінансовий потік'!BA7*'Вхідні дані'!$B$9</f>
        <v>-91525.751072961371</v>
      </c>
      <c r="BB8" s="83">
        <f>-'Вхідні дані'!$B$2/'Вхідні дані'!$B$42*'Фінансовий потік'!BB7*'Вхідні дані'!$B$9</f>
        <v>-196126.60944206009</v>
      </c>
      <c r="BC8" s="83">
        <f>-'Вхідні дані'!$B$2/'Вхідні дані'!$B$42*'Фінансовий потік'!BC7*'Вхідні дані'!$B$9</f>
        <v>-202664.16309012874</v>
      </c>
      <c r="BD8" s="83">
        <f>-'Вхідні дані'!$B$2/'Вхідні дані'!$B$42*'Фінансовий потік'!BD7*'Вхідні дані'!$B$9</f>
        <v>-202664.16309012874</v>
      </c>
      <c r="BE8" s="83">
        <f>-'Вхідні дані'!$B$2/'Вхідні дані'!$B$42*'Фінансовий потік'!BE7*'Вхідні дані'!$B$9</f>
        <v>-189589.0557939914</v>
      </c>
      <c r="BF8" s="83">
        <f>-'Вхідні дані'!$B$2/'Вхідні дані'!$B$42*'Фінансовий потік'!BF7*'Вхідні дані'!$B$9</f>
        <v>-202664.16309012874</v>
      </c>
      <c r="BG8" s="83">
        <f>-'Вхідні дані'!$B$2/'Вхідні дані'!$B$42*'Фінансовий потік'!BG7*'Вхідні дані'!$B$9</f>
        <v>-84988.1974248927</v>
      </c>
      <c r="BH8" s="83">
        <f>-'Вхідні дані'!$B$2/'Вхідні дані'!$B$42*'Фінансовий потік'!BH7*'Вхідні дані'!$B$9</f>
        <v>0</v>
      </c>
      <c r="BI8" s="83">
        <f>-'Вхідні дані'!$B$2/'Вхідні дані'!$B$42*'Фінансовий потік'!BI7*'Вхідні дані'!$B$9</f>
        <v>0</v>
      </c>
      <c r="BJ8" s="83">
        <f>-'Вхідні дані'!$B$2/'Вхідні дані'!$B$42*'Фінансовий потік'!BJ7*'Вхідні дані'!$B$9</f>
        <v>0</v>
      </c>
      <c r="BK8" s="83">
        <f>-'Вхідні дані'!$B$2/'Вхідні дані'!$B$42*'Фінансовий потік'!BK7*'Вхідні дані'!$B$9</f>
        <v>0</v>
      </c>
      <c r="BL8" s="83">
        <f>-'Вхідні дані'!$B$2/'Вхідні дані'!$B$42*'Фінансовий потік'!BL7*'Вхідні дані'!$B$9</f>
        <v>0</v>
      </c>
      <c r="BM8" s="83">
        <f>-'Вхідні дані'!$B$2/'Вхідні дані'!$B$42*'Фінансовий потік'!BM7*'Вхідні дані'!$B$9</f>
        <v>-91525.751072961371</v>
      </c>
      <c r="BN8" s="83">
        <f>-'Вхідні дані'!$B$2/'Вхідні дані'!$B$42*'Фінансовий потік'!BN7*'Вхідні дані'!$B$9</f>
        <v>-196126.60944206009</v>
      </c>
      <c r="BO8" s="83">
        <f>-'Вхідні дані'!$B$2/'Вхідні дані'!$B$42*'Фінансовий потік'!BO7*'Вхідні дані'!$B$9</f>
        <v>-202664.16309012874</v>
      </c>
      <c r="BP8" s="83">
        <f>-'Вхідні дані'!$B$2/'Вхідні дані'!$B$42*'Фінансовий потік'!BP7*'Вхідні дані'!$B$9</f>
        <v>-202664.16309012874</v>
      </c>
      <c r="BQ8" s="83">
        <f>-'Вхідні дані'!$B$2/'Вхідні дані'!$B$42*'Фінансовий потік'!BQ7*'Вхідні дані'!$B$9</f>
        <v>-189589.0557939914</v>
      </c>
      <c r="BR8" s="83">
        <f>-'Вхідні дані'!$B$2/'Вхідні дані'!$B$42*'Фінансовий потік'!BR7*'Вхідні дані'!$B$9</f>
        <v>-202664.16309012874</v>
      </c>
      <c r="BS8" s="83">
        <f>-'Вхідні дані'!$B$2/'Вхідні дані'!$B$42*'Фінансовий потік'!BS7*'Вхідні дані'!$B$9</f>
        <v>-84988.1974248927</v>
      </c>
      <c r="BT8" s="83">
        <f>-'Вхідні дані'!$B$2/'Вхідні дані'!$B$42*'Фінансовий потік'!BT7*'Вхідні дані'!$B$9</f>
        <v>0</v>
      </c>
      <c r="BU8" s="83">
        <f>-'Вхідні дані'!$B$2/'Вхідні дані'!$B$42*'Фінансовий потік'!BU7*'Вхідні дані'!$B$9</f>
        <v>0</v>
      </c>
      <c r="BV8" s="83">
        <f>-'Вхідні дані'!$B$2/'Вхідні дані'!$B$42*'Фінансовий потік'!BV7*'Вхідні дані'!$B$9</f>
        <v>0</v>
      </c>
      <c r="BW8" s="83">
        <f>-'Вхідні дані'!$B$2/'Вхідні дані'!$B$42*'Фінансовий потік'!BW7*'Вхідні дані'!$B$9</f>
        <v>0</v>
      </c>
      <c r="BX8" s="83">
        <f>-'Вхідні дані'!$B$2/'Вхідні дані'!$B$42*'Фінансовий потік'!BX7*'Вхідні дані'!$B$9</f>
        <v>0</v>
      </c>
      <c r="BY8" s="83">
        <f>-'Вхідні дані'!$B$2/'Вхідні дані'!$B$42*'Фінансовий потік'!BY7*'Вхідні дані'!$B$9</f>
        <v>-91525.751072961371</v>
      </c>
      <c r="BZ8" s="83">
        <f>-'Вхідні дані'!$B$2/'Вхідні дані'!$B$42*'Фінансовий потік'!BZ7*'Вхідні дані'!$B$9</f>
        <v>-196126.60944206009</v>
      </c>
      <c r="CA8" s="83">
        <f>-'Вхідні дані'!$B$2/'Вхідні дані'!$B$42*'Фінансовий потік'!CA7*'Вхідні дані'!$B$9</f>
        <v>-202664.16309012874</v>
      </c>
      <c r="CB8" s="83">
        <f>-'Вхідні дані'!$B$2/'Вхідні дані'!$B$42*'Фінансовий потік'!CB7*'Вхідні дані'!$B$9</f>
        <v>-202664.16309012874</v>
      </c>
      <c r="CC8" s="83">
        <f>-'Вхідні дані'!$B$2/'Вхідні дані'!$B$42*'Фінансовий потік'!CC7*'Вхідні дані'!$B$9</f>
        <v>-189589.0557939914</v>
      </c>
      <c r="CD8" s="83">
        <f>-'Вхідні дані'!$B$2/'Вхідні дані'!$B$42*'Фінансовий потік'!CD7*'Вхідні дані'!$B$9</f>
        <v>-202664.16309012874</v>
      </c>
      <c r="CE8" s="83">
        <f>-'Вхідні дані'!$B$2/'Вхідні дані'!$B$42*'Фінансовий потік'!CE7*'Вхідні дані'!$B$9</f>
        <v>-84988.1974248927</v>
      </c>
      <c r="CF8" s="83">
        <f>-'Вхідні дані'!$B$2/'Вхідні дані'!$B$42*'Фінансовий потік'!CF7*'Вхідні дані'!$B$9</f>
        <v>0</v>
      </c>
      <c r="CG8" s="83">
        <f>-'Вхідні дані'!$B$2/'Вхідні дані'!$B$42*'Фінансовий потік'!CG7*'Вхідні дані'!$B$9</f>
        <v>0</v>
      </c>
      <c r="CH8" s="83">
        <f>-'Вхідні дані'!$B$2/'Вхідні дані'!$B$42*'Фінансовий потік'!CH7*'Вхідні дані'!$B$9</f>
        <v>0</v>
      </c>
      <c r="CI8" s="83">
        <f>-'Вхідні дані'!$B$2/'Вхідні дані'!$B$42*'Фінансовий потік'!CI7*'Вхідні дані'!$B$9</f>
        <v>0</v>
      </c>
      <c r="CJ8" s="83">
        <f>-'Вхідні дані'!$B$2/'Вхідні дані'!$B$42*'Фінансовий потік'!CJ7*'Вхідні дані'!$B$9</f>
        <v>0</v>
      </c>
      <c r="CK8" s="83">
        <f>-'Вхідні дані'!$B$2/'Вхідні дані'!$B$42*'Фінансовий потік'!CK7*'Вхідні дані'!$B$9</f>
        <v>-91525.751072961371</v>
      </c>
      <c r="CL8" s="83">
        <f>-'Вхідні дані'!$B$2/'Вхідні дані'!$B$42*'Фінансовий потік'!CL7*'Вхідні дані'!$B$9</f>
        <v>-196126.60944206009</v>
      </c>
      <c r="CM8" s="83">
        <f>-'Вхідні дані'!$B$2/'Вхідні дані'!$B$42*'Фінансовий потік'!CM7*'Вхідні дані'!$B$9</f>
        <v>-202664.16309012874</v>
      </c>
      <c r="CN8" s="83">
        <f>-'Вхідні дані'!$B$2/'Вхідні дані'!$B$42*'Фінансовий потік'!CN7*'Вхідні дані'!$B$9</f>
        <v>-202664.16309012874</v>
      </c>
      <c r="CO8" s="83">
        <f>-'Вхідні дані'!$B$2/'Вхідні дані'!$B$42*'Фінансовий потік'!CO7*'Вхідні дані'!$B$9</f>
        <v>-189589.0557939914</v>
      </c>
      <c r="CP8" s="83">
        <f>-'Вхідні дані'!$B$2/'Вхідні дані'!$B$42*'Фінансовий потік'!CP7*'Вхідні дані'!$B$9</f>
        <v>-202664.16309012874</v>
      </c>
      <c r="CQ8" s="83">
        <f>-'Вхідні дані'!$B$2/'Вхідні дані'!$B$42*'Фінансовий потік'!CQ7*'Вхідні дані'!$B$9</f>
        <v>-84988.1974248927</v>
      </c>
      <c r="CR8" s="83">
        <f>-'Вхідні дані'!$B$2/'Вхідні дані'!$B$42*'Фінансовий потік'!CR7*'Вхідні дані'!$B$9</f>
        <v>0</v>
      </c>
      <c r="CS8" s="83">
        <f>-'Вхідні дані'!$B$2/'Вхідні дані'!$B$42*'Фінансовий потік'!CS7*'Вхідні дані'!$B$9</f>
        <v>0</v>
      </c>
      <c r="CT8" s="83">
        <f>-'Вхідні дані'!$B$2/'Вхідні дані'!$B$42*'Фінансовий потік'!CT7*'Вхідні дані'!$B$9</f>
        <v>0</v>
      </c>
      <c r="CU8" s="83">
        <f>-'Вхідні дані'!$B$2/'Вхідні дані'!$B$42*'Фінансовий потік'!CU7*'Вхідні дані'!$B$9</f>
        <v>0</v>
      </c>
      <c r="CV8" s="83">
        <f>-'Вхідні дані'!$B$2/'Вхідні дані'!$B$42*'Фінансовий потік'!CV7*'Вхідні дані'!$B$9</f>
        <v>0</v>
      </c>
      <c r="CW8" s="83">
        <f>-'Вхідні дані'!$B$2/'Вхідні дані'!$B$42*'Фінансовий потік'!CW7*'Вхідні дані'!$B$9</f>
        <v>-91525.751072961371</v>
      </c>
      <c r="CX8" s="83">
        <f>-'Вхідні дані'!$B$2/'Вхідні дані'!$B$42*'Фінансовий потік'!CX7*'Вхідні дані'!$B$9</f>
        <v>-196126.60944206009</v>
      </c>
      <c r="CY8" s="83">
        <f>-'Вхідні дані'!$B$2/'Вхідні дані'!$B$42*'Фінансовий потік'!CY7*'Вхідні дані'!$B$9</f>
        <v>-202664.16309012874</v>
      </c>
      <c r="CZ8" s="83">
        <f>-'Вхідні дані'!$B$2/'Вхідні дані'!$B$42*'Фінансовий потік'!CZ7*'Вхідні дані'!$B$9</f>
        <v>-202664.16309012874</v>
      </c>
      <c r="DA8" s="83">
        <f>-'Вхідні дані'!$B$2/'Вхідні дані'!$B$42*'Фінансовий потік'!DA7*'Вхідні дані'!$B$9</f>
        <v>-189589.0557939914</v>
      </c>
      <c r="DB8" s="83">
        <f>-'Вхідні дані'!$B$2/'Вхідні дані'!$B$42*'Фінансовий потік'!DB7*'Вхідні дані'!$B$9</f>
        <v>-202664.16309012874</v>
      </c>
      <c r="DC8" s="83">
        <f>-'Вхідні дані'!$B$2/'Вхідні дані'!$B$42*'Фінансовий потік'!DC7*'Вхідні дані'!$B$9</f>
        <v>-84988.1974248927</v>
      </c>
      <c r="DD8" s="83">
        <f>-'Вхідні дані'!$B$2/'Вхідні дані'!$B$42*'Фінансовий потік'!DD7*'Вхідні дані'!$B$9</f>
        <v>0</v>
      </c>
      <c r="DE8" s="83">
        <f>-'Вхідні дані'!$B$2/'Вхідні дані'!$B$42*'Фінансовий потік'!DE7*'Вхідні дані'!$B$9</f>
        <v>0</v>
      </c>
      <c r="DF8" s="83">
        <f>-'Вхідні дані'!$B$2/'Вхідні дані'!$B$42*'Фінансовий потік'!DF7*'Вхідні дані'!$B$9</f>
        <v>0</v>
      </c>
      <c r="DG8" s="83">
        <f>-'Вхідні дані'!$B$2/'Вхідні дані'!$B$42*'Фінансовий потік'!DG7*'Вхідні дані'!$B$9</f>
        <v>0</v>
      </c>
      <c r="DH8" s="83">
        <f>-'Вхідні дані'!$B$2/'Вхідні дані'!$B$42*'Фінансовий потік'!DH7*'Вхідні дані'!$B$9</f>
        <v>0</v>
      </c>
      <c r="DI8" s="83">
        <f>-'Вхідні дані'!$B$2/'Вхідні дані'!$B$42*'Фінансовий потік'!DI7*'Вхідні дані'!$B$9</f>
        <v>-91525.751072961371</v>
      </c>
      <c r="DJ8" s="83">
        <f>-'Вхідні дані'!$B$2/'Вхідні дані'!$B$42*'Фінансовий потік'!DJ7*'Вхідні дані'!$B$9</f>
        <v>-196126.60944206009</v>
      </c>
      <c r="DK8" s="83">
        <f>-'Вхідні дані'!$B$2/'Вхідні дані'!$B$42*'Фінансовий потік'!DK7*'Вхідні дані'!$B$9</f>
        <v>-202664.16309012874</v>
      </c>
      <c r="DL8" s="83">
        <f>-'Вхідні дані'!$B$2/'Вхідні дані'!$B$42*'Фінансовий потік'!DL7*'Вхідні дані'!$B$9</f>
        <v>-202664.16309012874</v>
      </c>
      <c r="DM8" s="83">
        <f>-'Вхідні дані'!$B$2/'Вхідні дані'!$B$42*'Фінансовий потік'!DM7*'Вхідні дані'!$B$9</f>
        <v>-189589.0557939914</v>
      </c>
      <c r="DN8" s="83">
        <f>-'Вхідні дані'!$B$2/'Вхідні дані'!$B$42*'Фінансовий потік'!DN7*'Вхідні дані'!$B$9</f>
        <v>-202664.16309012874</v>
      </c>
      <c r="DO8" s="83">
        <f>-'Вхідні дані'!$B$2/'Вхідні дані'!$B$42*'Фінансовий потік'!DO7*'Вхідні дані'!$B$9</f>
        <v>-84988.1974248927</v>
      </c>
      <c r="DP8" s="83">
        <f>-'Вхідні дані'!$B$2/'Вхідні дані'!$B$42*'Фінансовий потік'!DP7*'Вхідні дані'!$B$9</f>
        <v>0</v>
      </c>
      <c r="DQ8" s="83">
        <f>-'Вхідні дані'!$B$2/'Вхідні дані'!$B$42*'Фінансовий потік'!DQ7*'Вхідні дані'!$B$9</f>
        <v>0</v>
      </c>
      <c r="DR8" s="83">
        <f>-'Вхідні дані'!$B$2/'Вхідні дані'!$B$42*'Фінансовий потік'!DR7*'Вхідні дані'!$B$9</f>
        <v>0</v>
      </c>
      <c r="DS8" s="83">
        <f>-'Вхідні дані'!$B$2/'Вхідні дані'!$B$42*'Фінансовий потік'!DS7*'Вхідні дані'!$B$9</f>
        <v>0</v>
      </c>
      <c r="DT8" s="83">
        <f>-'Вхідні дані'!$B$2/'Вхідні дані'!$B$42*'Фінансовий потік'!DT7*'Вхідні дані'!$B$9</f>
        <v>0</v>
      </c>
      <c r="DU8" s="83">
        <f>-'Вхідні дані'!$B$2/'Вхідні дані'!$B$42*'Фінансовий потік'!DU7*'Вхідні дані'!$B$9</f>
        <v>-91525.751072961371</v>
      </c>
      <c r="DV8" s="83">
        <f>-'Вхідні дані'!$B$2/'Вхідні дані'!$B$42*'Фінансовий потік'!DV7*'Вхідні дані'!$B$9</f>
        <v>-196126.60944206009</v>
      </c>
      <c r="DW8" s="83">
        <f>-'Вхідні дані'!$B$2/'Вхідні дані'!$B$42*'Фінансовий потік'!DW7*'Вхідні дані'!$B$9</f>
        <v>-202664.16309012874</v>
      </c>
      <c r="DX8" s="83">
        <f>-'Вхідні дані'!$B$2/'Вхідні дані'!$B$42*'Фінансовий потік'!DX7*'Вхідні дані'!$B$9</f>
        <v>-202664.16309012874</v>
      </c>
      <c r="DY8" s="83">
        <f>-'Вхідні дані'!$B$2/'Вхідні дані'!$B$42*'Фінансовий потік'!DY7*'Вхідні дані'!$B$9</f>
        <v>-189589.0557939914</v>
      </c>
      <c r="DZ8" s="83">
        <f>-'Вхідні дані'!$B$2/'Вхідні дані'!$B$42*'Фінансовий потік'!DZ7*'Вхідні дані'!$B$9</f>
        <v>-202664.16309012874</v>
      </c>
      <c r="EA8" s="83">
        <f>-'Вхідні дані'!$B$2/'Вхідні дані'!$B$42*'Фінансовий потік'!EA7*'Вхідні дані'!$B$9</f>
        <v>-84988.1974248927</v>
      </c>
      <c r="EB8" s="83">
        <f>-'Вхідні дані'!$B$2/'Вхідні дані'!$B$42*'Фінансовий потік'!EB7*'Вхідні дані'!$B$9</f>
        <v>0</v>
      </c>
      <c r="EC8" s="83">
        <f>-'Вхідні дані'!$B$2/'Вхідні дані'!$B$42*'Фінансовий потік'!EC7*'Вхідні дані'!$B$9</f>
        <v>0</v>
      </c>
      <c r="ED8" s="83">
        <f>-'Вхідні дані'!$B$2/'Вхідні дані'!$B$42*'Фінансовий потік'!ED7*'Вхідні дані'!$B$9</f>
        <v>0</v>
      </c>
      <c r="EE8" s="83">
        <f>-'Вхідні дані'!$B$2/'Вхідні дані'!$B$42*'Фінансовий потік'!EE7*'Вхідні дані'!$B$9</f>
        <v>0</v>
      </c>
      <c r="EF8" s="83">
        <f>-'Вхідні дані'!$B$2/'Вхідні дані'!$B$42*'Фінансовий потік'!EF7*'Вхідні дані'!$B$9</f>
        <v>0</v>
      </c>
      <c r="EG8" s="83">
        <f>-'Вхідні дані'!$B$2/'Вхідні дані'!$B$42*'Фінансовий потік'!EG7*'Вхідні дані'!$B$9</f>
        <v>-91525.751072961371</v>
      </c>
      <c r="EH8" s="83">
        <f>-'Вхідні дані'!$B$2/'Вхідні дані'!$B$42*'Фінансовий потік'!EH7*'Вхідні дані'!$B$9</f>
        <v>-196126.60944206009</v>
      </c>
      <c r="EI8" s="83">
        <f>-'Вхідні дані'!$B$2/'Вхідні дані'!$B$42*'Фінансовий потік'!EI7*'Вхідні дані'!$B$9</f>
        <v>-202664.16309012874</v>
      </c>
      <c r="EJ8" s="83">
        <f>-'Вхідні дані'!$B$2/'Вхідні дані'!$B$42*'Фінансовий потік'!EJ7*'Вхідні дані'!$B$9</f>
        <v>-202664.16309012874</v>
      </c>
      <c r="EK8" s="83">
        <f>-'Вхідні дані'!$B$2/'Вхідні дані'!$B$42*'Фінансовий потік'!EK7*'Вхідні дані'!$B$9</f>
        <v>-189589.0557939914</v>
      </c>
      <c r="EL8" s="83">
        <f>-'Вхідні дані'!$B$2/'Вхідні дані'!$B$42*'Фінансовий потік'!EL7*'Вхідні дані'!$B$9</f>
        <v>-202664.16309012874</v>
      </c>
      <c r="EM8" s="83">
        <f>-'Вхідні дані'!$B$2/'Вхідні дані'!$B$42*'Фінансовий потік'!EM7*'Вхідні дані'!$B$9</f>
        <v>-84988.1974248927</v>
      </c>
      <c r="EN8" s="83">
        <f>-'Вхідні дані'!$B$2/'Вхідні дані'!$B$42*'Фінансовий потік'!EN7*'Вхідні дані'!$B$9</f>
        <v>0</v>
      </c>
      <c r="EO8" s="83">
        <f>-'Вхідні дані'!$B$2/'Вхідні дані'!$B$42*'Фінансовий потік'!EO7*'Вхідні дані'!$B$9</f>
        <v>0</v>
      </c>
      <c r="EP8" s="83">
        <f>-'Вхідні дані'!$B$2/'Вхідні дані'!$B$42*'Фінансовий потік'!EP7*'Вхідні дані'!$B$9</f>
        <v>0</v>
      </c>
      <c r="EQ8" s="83">
        <f>-'Вхідні дані'!$B$2/'Вхідні дані'!$B$42*'Фінансовий потік'!EQ7*'Вхідні дані'!$B$9</f>
        <v>0</v>
      </c>
      <c r="ER8" s="83">
        <f>-'Вхідні дані'!$B$2/'Вхідні дані'!$B$42*'Фінансовий потік'!ER7*'Вхідні дані'!$B$9</f>
        <v>0</v>
      </c>
      <c r="ES8" s="83">
        <f>-'Вхідні дані'!$B$2/'Вхідні дані'!$B$42*'Фінансовий потік'!ES7*'Вхідні дані'!$B$9</f>
        <v>-91525.751072961371</v>
      </c>
      <c r="ET8" s="83">
        <f>-'Вхідні дані'!$B$2/'Вхідні дані'!$B$42*'Фінансовий потік'!ET7*'Вхідні дані'!$B$9</f>
        <v>-196126.60944206009</v>
      </c>
      <c r="EU8" s="83">
        <f>-'Вхідні дані'!$B$2/'Вхідні дані'!$B$42*'Фінансовий потік'!EU7*'Вхідні дані'!$B$9</f>
        <v>-202664.16309012874</v>
      </c>
      <c r="EV8" s="83">
        <f>-'Вхідні дані'!$B$2/'Вхідні дані'!$B$42*'Фінансовий потік'!EV7*'Вхідні дані'!$B$9</f>
        <v>-202664.16309012874</v>
      </c>
      <c r="EW8" s="83">
        <f>-'Вхідні дані'!$B$2/'Вхідні дані'!$B$42*'Фінансовий потік'!EW7*'Вхідні дані'!$B$9</f>
        <v>-189589.0557939914</v>
      </c>
      <c r="EX8" s="83">
        <f>-'Вхідні дані'!$B$2/'Вхідні дані'!$B$42*'Фінансовий потік'!EX7*'Вхідні дані'!$B$9</f>
        <v>-202664.16309012874</v>
      </c>
      <c r="EY8" s="83">
        <f>-'Вхідні дані'!$B$2/'Вхідні дані'!$B$42*'Фінансовий потік'!EY7*'Вхідні дані'!$B$9</f>
        <v>-84988.1974248927</v>
      </c>
      <c r="EZ8" s="83">
        <f>-'Вхідні дані'!$B$2/'Вхідні дані'!$B$42*'Фінансовий потік'!EZ7*'Вхідні дані'!$B$9</f>
        <v>0</v>
      </c>
      <c r="FA8" s="83">
        <f>-'Вхідні дані'!$B$2/'Вхідні дані'!$B$42*'Фінансовий потік'!FA7*'Вхідні дані'!$B$9</f>
        <v>0</v>
      </c>
      <c r="FB8" s="83">
        <f>-'Вхідні дані'!$B$2/'Вхідні дані'!$B$42*'Фінансовий потік'!FB7*'Вхідні дані'!$B$9</f>
        <v>0</v>
      </c>
      <c r="FC8" s="83">
        <f>-'Вхідні дані'!$B$2/'Вхідні дані'!$B$42*'Фінансовий потік'!FC7*'Вхідні дані'!$B$9</f>
        <v>0</v>
      </c>
      <c r="FD8" s="83">
        <f>-'Вхідні дані'!$B$2/'Вхідні дані'!$B$42*'Фінансовий потік'!FD7*'Вхідні дані'!$B$9</f>
        <v>0</v>
      </c>
      <c r="FE8" s="83">
        <f>-'Вхідні дані'!$B$2/'Вхідні дані'!$B$42*'Фінансовий потік'!FE7*'Вхідні дані'!$B$9</f>
        <v>-91525.751072961371</v>
      </c>
      <c r="FF8" s="83">
        <f>-'Вхідні дані'!$B$2/'Вхідні дані'!$B$42*'Фінансовий потік'!FF7*'Вхідні дані'!$B$9</f>
        <v>-196126.60944206009</v>
      </c>
      <c r="FG8" s="83">
        <f>-'Вхідні дані'!$B$2/'Вхідні дані'!$B$42*'Фінансовий потік'!FG7*'Вхідні дані'!$B$9</f>
        <v>-202664.16309012874</v>
      </c>
      <c r="FH8" s="83">
        <f>-'Вхідні дані'!$B$2/'Вхідні дані'!$B$42*'Фінансовий потік'!FH7*'Вхідні дані'!$B$9</f>
        <v>-202664.16309012874</v>
      </c>
      <c r="FI8" s="83">
        <f>-'Вхідні дані'!$B$2/'Вхідні дані'!$B$42*'Фінансовий потік'!FI7*'Вхідні дані'!$B$9</f>
        <v>-189589.0557939914</v>
      </c>
      <c r="FJ8" s="83">
        <f>-'Вхідні дані'!$B$2/'Вхідні дані'!$B$42*'Фінансовий потік'!FJ7*'Вхідні дані'!$B$9</f>
        <v>-202664.16309012874</v>
      </c>
      <c r="FK8" s="83">
        <f>-'Вхідні дані'!$B$2/'Вхідні дані'!$B$42*'Фінансовий потік'!FK7*'Вхідні дані'!$B$9</f>
        <v>-84988.1974248927</v>
      </c>
      <c r="FL8" s="83">
        <f>-'Вхідні дані'!$B$2/'Вхідні дані'!$B$42*'Фінансовий потік'!FL7*'Вхідні дані'!$B$9</f>
        <v>0</v>
      </c>
      <c r="FM8" s="83">
        <f>-'Вхідні дані'!$B$2/'Вхідні дані'!$B$42*'Фінансовий потік'!FM7*'Вхідні дані'!$B$9</f>
        <v>0</v>
      </c>
      <c r="FN8" s="83">
        <f>-'Вхідні дані'!$B$2/'Вхідні дані'!$B$42*'Фінансовий потік'!FN7*'Вхідні дані'!$B$9</f>
        <v>0</v>
      </c>
      <c r="FO8" s="83">
        <f>-'Вхідні дані'!$B$2/'Вхідні дані'!$B$42*'Фінансовий потік'!FO7*'Вхідні дані'!$B$9</f>
        <v>0</v>
      </c>
      <c r="FP8" s="83">
        <f>-'Вхідні дані'!$B$2/'Вхідні дані'!$B$42*'Фінансовий потік'!FP7*'Вхідні дані'!$B$9</f>
        <v>0</v>
      </c>
      <c r="FQ8" s="83">
        <f>-'Вхідні дані'!$B$2/'Вхідні дані'!$B$42*'Фінансовий потік'!FQ7*'Вхідні дані'!$B$9</f>
        <v>-91525.751072961371</v>
      </c>
      <c r="FR8" s="83">
        <f>-'Вхідні дані'!$B$2/'Вхідні дані'!$B$42*'Фінансовий потік'!FR7*'Вхідні дані'!$B$9</f>
        <v>-196126.60944206009</v>
      </c>
      <c r="FS8" s="83">
        <f>-'Вхідні дані'!$B$2/'Вхідні дані'!$B$42*'Фінансовий потік'!FS7*'Вхідні дані'!$B$9</f>
        <v>-202664.16309012874</v>
      </c>
      <c r="FT8" s="83">
        <f>-'Вхідні дані'!$B$2/'Вхідні дані'!$B$42*'Фінансовий потік'!FT7*'Вхідні дані'!$B$9</f>
        <v>-202664.16309012874</v>
      </c>
      <c r="FU8" s="83">
        <f>-'Вхідні дані'!$B$2/'Вхідні дані'!$B$42*'Фінансовий потік'!FU7*'Вхідні дані'!$B$9</f>
        <v>-189589.0557939914</v>
      </c>
      <c r="FV8" s="83">
        <f>-'Вхідні дані'!$B$2/'Вхідні дані'!$B$42*'Фінансовий потік'!FV7*'Вхідні дані'!$B$9</f>
        <v>-202664.16309012874</v>
      </c>
      <c r="FW8" s="83">
        <f>-'Вхідні дані'!$B$2/'Вхідні дані'!$B$42*'Фінансовий потік'!FW7*'Вхідні дані'!$B$9</f>
        <v>-84988.1974248927</v>
      </c>
      <c r="FX8" s="83">
        <f>-'Вхідні дані'!$B$2/'Вхідні дані'!$B$42*'Фінансовий потік'!FX7*'Вхідні дані'!$B$9</f>
        <v>0</v>
      </c>
      <c r="FY8" s="83">
        <f>-'Вхідні дані'!$B$2/'Вхідні дані'!$B$42*'Фінансовий потік'!FY7*'Вхідні дані'!$B$9</f>
        <v>0</v>
      </c>
      <c r="FZ8" s="83">
        <f>-'Вхідні дані'!$B$2/'Вхідні дані'!$B$42*'Фінансовий потік'!FZ7*'Вхідні дані'!$B$9</f>
        <v>0</v>
      </c>
      <c r="GA8" s="83">
        <f>-'Вхідні дані'!$B$2/'Вхідні дані'!$B$42*'Фінансовий потік'!GA7*'Вхідні дані'!$B$9</f>
        <v>0</v>
      </c>
      <c r="GB8" s="83">
        <f>-'Вхідні дані'!$B$2/'Вхідні дані'!$B$42*'Фінансовий потік'!GB7*'Вхідні дані'!$B$9</f>
        <v>0</v>
      </c>
      <c r="GC8" s="83">
        <f>-'Вхідні дані'!$B$2/'Вхідні дані'!$B$42*'Фінансовий потік'!GC7*'Вхідні дані'!$B$9</f>
        <v>-91525.751072961371</v>
      </c>
      <c r="GD8" s="83">
        <f>-'Вхідні дані'!$B$2/'Вхідні дані'!$B$42*'Фінансовий потік'!GD7*'Вхідні дані'!$B$9</f>
        <v>-196126.60944206009</v>
      </c>
      <c r="GE8" s="83">
        <f>-'Вхідні дані'!$B$2/'Вхідні дані'!$B$42*'Фінансовий потік'!GE7*'Вхідні дані'!$B$9</f>
        <v>-202664.16309012874</v>
      </c>
      <c r="GF8" s="83">
        <f>-'Вхідні дані'!$B$2/'Вхідні дані'!$B$42*'Фінансовий потік'!GF7*'Вхідні дані'!$B$9</f>
        <v>-202664.16309012874</v>
      </c>
      <c r="GG8" s="83">
        <f>-'Вхідні дані'!$B$2/'Вхідні дані'!$B$42*'Фінансовий потік'!GG7*'Вхідні дані'!$B$9</f>
        <v>-189589.0557939914</v>
      </c>
      <c r="GH8" s="83">
        <f>-'Вхідні дані'!$B$2/'Вхідні дані'!$B$42*'Фінансовий потік'!GH7*'Вхідні дані'!$B$9</f>
        <v>-202664.16309012874</v>
      </c>
      <c r="GI8" s="83">
        <f>-'Вхідні дані'!$B$2/'Вхідні дані'!$B$42*'Фінансовий потік'!GI7*'Вхідні дані'!$B$9</f>
        <v>-84988.1974248927</v>
      </c>
      <c r="GJ8" s="83">
        <f>-'Вхідні дані'!$B$2/'Вхідні дані'!$B$42*'Фінансовий потік'!GJ7*'Вхідні дані'!$B$9</f>
        <v>0</v>
      </c>
      <c r="GK8" s="83">
        <f>-'Вхідні дані'!$B$2/'Вхідні дані'!$B$42*'Фінансовий потік'!GK7*'Вхідні дані'!$B$9</f>
        <v>0</v>
      </c>
      <c r="GL8" s="83">
        <f>-'Вхідні дані'!$B$2/'Вхідні дані'!$B$42*'Фінансовий потік'!GL7*'Вхідні дані'!$B$9</f>
        <v>0</v>
      </c>
      <c r="GM8" s="83">
        <f>-'Вхідні дані'!$B$2/'Вхідні дані'!$B$42*'Фінансовий потік'!GM7*'Вхідні дані'!$B$9</f>
        <v>0</v>
      </c>
      <c r="GN8" s="83">
        <f>-'Вхідні дані'!$B$2/'Вхідні дані'!$B$42*'Фінансовий потік'!GN7*'Вхідні дані'!$B$9</f>
        <v>0</v>
      </c>
      <c r="GO8" s="83">
        <f>-'Вхідні дані'!$B$2/'Вхідні дані'!$B$42*'Фінансовий потік'!GO7*'Вхідні дані'!$B$9</f>
        <v>-91525.751072961371</v>
      </c>
      <c r="GP8" s="83">
        <f>-'Вхідні дані'!$B$2/'Вхідні дані'!$B$42*'Фінансовий потік'!GP7*'Вхідні дані'!$B$9</f>
        <v>-196126.60944206009</v>
      </c>
      <c r="GQ8" s="83">
        <f>-'Вхідні дані'!$B$2/'Вхідні дані'!$B$42*'Фінансовий потік'!GQ7*'Вхідні дані'!$B$9</f>
        <v>-202664.16309012874</v>
      </c>
      <c r="GR8" s="83">
        <f>-'Вхідні дані'!$B$2/'Вхідні дані'!$B$42*'Фінансовий потік'!GR7*'Вхідні дані'!$B$9</f>
        <v>-202664.16309012874</v>
      </c>
      <c r="GS8" s="83">
        <f>-'Вхідні дані'!$B$2/'Вхідні дані'!$B$42*'Фінансовий потік'!GS7*'Вхідні дані'!$B$9</f>
        <v>-189589.0557939914</v>
      </c>
      <c r="GT8" s="83">
        <f>-'Вхідні дані'!$B$2/'Вхідні дані'!$B$42*'Фінансовий потік'!GT7*'Вхідні дані'!$B$9</f>
        <v>-202664.16309012874</v>
      </c>
      <c r="GU8" s="83">
        <f>-'Вхідні дані'!$B$2/'Вхідні дані'!$B$42*'Фінансовий потік'!GU7*'Вхідні дані'!$B$9</f>
        <v>-84988.1974248927</v>
      </c>
      <c r="GV8" s="83">
        <f>-'Вхідні дані'!$B$2/'Вхідні дані'!$B$42*'Фінансовий потік'!GV7*'Вхідні дані'!$B$9</f>
        <v>0</v>
      </c>
      <c r="GW8" s="83">
        <f>-'Вхідні дані'!$B$2/'Вхідні дані'!$B$42*'Фінансовий потік'!GW7*'Вхідні дані'!$B$9</f>
        <v>0</v>
      </c>
      <c r="GX8" s="83">
        <f>-'Вхідні дані'!$B$2/'Вхідні дані'!$B$42*'Фінансовий потік'!GX7*'Вхідні дані'!$B$9</f>
        <v>0</v>
      </c>
      <c r="GY8" s="83">
        <f>-'Вхідні дані'!$B$2/'Вхідні дані'!$B$42*'Фінансовий потік'!GY7*'Вхідні дані'!$B$9</f>
        <v>0</v>
      </c>
      <c r="GZ8" s="83">
        <f>-'Вхідні дані'!$B$2/'Вхідні дані'!$B$42*'Фінансовий потік'!GZ7*'Вхідні дані'!$B$9</f>
        <v>0</v>
      </c>
      <c r="HA8" s="83">
        <f>-'Вхідні дані'!$B$2/'Вхідні дані'!$B$42*'Фінансовий потік'!HA7*'Вхідні дані'!$B$9</f>
        <v>-91525.751072961371</v>
      </c>
      <c r="HB8" s="83">
        <f>-'Вхідні дані'!$B$2/'Вхідні дані'!$B$42*'Фінансовий потік'!HB7*'Вхідні дані'!$B$9</f>
        <v>-196126.60944206009</v>
      </c>
      <c r="HC8" s="83">
        <f>-'Вхідні дані'!$B$2/'Вхідні дані'!$B$42*'Фінансовий потік'!HC7*'Вхідні дані'!$B$9</f>
        <v>-202664.16309012874</v>
      </c>
      <c r="HD8" s="83">
        <f>-'Вхідні дані'!$B$2/'Вхідні дані'!$B$42*'Фінансовий потік'!HD7*'Вхідні дані'!$B$9</f>
        <v>-202664.16309012874</v>
      </c>
      <c r="HE8" s="83">
        <f>-'Вхідні дані'!$B$2/'Вхідні дані'!$B$42*'Фінансовий потік'!HE7*'Вхідні дані'!$B$9</f>
        <v>-189589.0557939914</v>
      </c>
      <c r="HF8" s="83">
        <f>-'Вхідні дані'!$B$2/'Вхідні дані'!$B$42*'Фінансовий потік'!HF7*'Вхідні дані'!$B$9</f>
        <v>-202664.16309012874</v>
      </c>
      <c r="HG8" s="83">
        <f>-'Вхідні дані'!$B$2/'Вхідні дані'!$B$42*'Фінансовий потік'!HG7*'Вхідні дані'!$B$9</f>
        <v>-84988.1974248927</v>
      </c>
      <c r="HH8" s="83">
        <f>-'Вхідні дані'!$B$2/'Вхідні дані'!$B$42*'Фінансовий потік'!HH7*'Вхідні дані'!$B$9</f>
        <v>0</v>
      </c>
      <c r="HI8" s="83">
        <f>-'Вхідні дані'!$B$2/'Вхідні дані'!$B$42*'Фінансовий потік'!HI7*'Вхідні дані'!$B$9</f>
        <v>0</v>
      </c>
      <c r="HJ8" s="83">
        <f>-'Вхідні дані'!$B$2/'Вхідні дані'!$B$42*'Фінансовий потік'!HJ7*'Вхідні дані'!$B$9</f>
        <v>0</v>
      </c>
      <c r="HK8" s="83">
        <f>-'Вхідні дані'!$B$2/'Вхідні дані'!$B$42*'Фінансовий потік'!HK7*'Вхідні дані'!$B$9</f>
        <v>0</v>
      </c>
      <c r="HL8" s="83">
        <f>-'Вхідні дані'!$B$2/'Вхідні дані'!$B$42*'Фінансовий потік'!HL7*'Вхідні дані'!$B$9</f>
        <v>0</v>
      </c>
      <c r="HM8" s="83">
        <f>-'Вхідні дані'!$B$2/'Вхідні дані'!$B$42*'Фінансовий потік'!HM7*'Вхідні дані'!$B$9</f>
        <v>-91525.751072961371</v>
      </c>
      <c r="HN8" s="83">
        <f>-'Вхідні дані'!$B$2/'Вхідні дані'!$B$42*'Фінансовий потік'!HN7*'Вхідні дані'!$B$9</f>
        <v>-196126.60944206009</v>
      </c>
      <c r="HO8" s="83">
        <f>-'Вхідні дані'!$B$2/'Вхідні дані'!$B$42*'Фінансовий потік'!HO7*'Вхідні дані'!$B$9</f>
        <v>-202664.16309012874</v>
      </c>
      <c r="HP8" s="83">
        <f>-'Вхідні дані'!$B$2/'Вхідні дані'!$B$42*'Фінансовий потік'!HP7*'Вхідні дані'!$B$9</f>
        <v>-202664.16309012874</v>
      </c>
      <c r="HQ8" s="83">
        <f>-'Вхідні дані'!$B$2/'Вхідні дані'!$B$42*'Фінансовий потік'!HQ7*'Вхідні дані'!$B$9</f>
        <v>-189589.0557939914</v>
      </c>
      <c r="HR8" s="83">
        <f>-'Вхідні дані'!$B$2/'Вхідні дані'!$B$42*'Фінансовий потік'!HR7*'Вхідні дані'!$B$9</f>
        <v>-202664.16309012874</v>
      </c>
      <c r="HS8" s="83">
        <f>-'Вхідні дані'!$B$2/'Вхідні дані'!$B$42*'Фінансовий потік'!HS7*'Вхідні дані'!$B$9</f>
        <v>-84988.1974248927</v>
      </c>
      <c r="HT8" s="83">
        <f>-'Вхідні дані'!$B$2/'Вхідні дані'!$B$42*'Фінансовий потік'!HT7*'Вхідні дані'!$B$9</f>
        <v>0</v>
      </c>
      <c r="HU8" s="83">
        <f>-'Вхідні дані'!$B$2/'Вхідні дані'!$B$42*'Фінансовий потік'!HU7*'Вхідні дані'!$B$9</f>
        <v>0</v>
      </c>
      <c r="HV8" s="83">
        <f>-'Вхідні дані'!$B$2/'Вхідні дані'!$B$42*'Фінансовий потік'!HV7*'Вхідні дані'!$B$9</f>
        <v>0</v>
      </c>
      <c r="HW8" s="83">
        <f>-'Вхідні дані'!$B$2/'Вхідні дані'!$B$42*'Фінансовий потік'!HW7*'Вхідні дані'!$B$9</f>
        <v>0</v>
      </c>
      <c r="HX8" s="83">
        <f>-'Вхідні дані'!$B$2/'Вхідні дані'!$B$42*'Фінансовий потік'!HX7*'Вхідні дані'!$B$9</f>
        <v>0</v>
      </c>
      <c r="HY8" s="83">
        <f>-'Вхідні дані'!$B$2/'Вхідні дані'!$B$42*'Фінансовий потік'!HY7*'Вхідні дані'!$B$9</f>
        <v>-91525.751072961371</v>
      </c>
      <c r="HZ8" s="83">
        <f>-'Вхідні дані'!$B$2/'Вхідні дані'!$B$42*'Фінансовий потік'!HZ7*'Вхідні дані'!$B$9</f>
        <v>-196126.60944206009</v>
      </c>
      <c r="IA8" s="83">
        <f>-'Вхідні дані'!$B$2/'Вхідні дані'!$B$42*'Фінансовий потік'!IA7*'Вхідні дані'!$B$9</f>
        <v>-202664.16309012874</v>
      </c>
      <c r="IB8" s="83">
        <f>-'Вхідні дані'!$B$2/'Вхідні дані'!$B$42*'Фінансовий потік'!IB7*'Вхідні дані'!$B$9</f>
        <v>-202664.16309012874</v>
      </c>
      <c r="IC8" s="83">
        <f>-'Вхідні дані'!$B$2/'Вхідні дані'!$B$42*'Фінансовий потік'!IC7*'Вхідні дані'!$B$9</f>
        <v>-189589.0557939914</v>
      </c>
      <c r="ID8" s="83">
        <f>-'Вхідні дані'!$B$2/'Вхідні дані'!$B$42*'Фінансовий потік'!ID7*'Вхідні дані'!$B$9</f>
        <v>-202664.16309012874</v>
      </c>
      <c r="IE8" s="83">
        <f>-'Вхідні дані'!$B$2/'Вхідні дані'!$B$42*'Фінансовий потік'!IE7*'Вхідні дані'!$B$9</f>
        <v>-84988.1974248927</v>
      </c>
      <c r="IF8" s="83">
        <f>-'Вхідні дані'!$B$2/'Вхідні дані'!$B$42*'Фінансовий потік'!IF7*'Вхідні дані'!$B$9</f>
        <v>0</v>
      </c>
      <c r="IG8" s="83">
        <f>-'Вхідні дані'!$B$2/'Вхідні дані'!$B$42*'Фінансовий потік'!IG7*'Вхідні дані'!$B$9</f>
        <v>0</v>
      </c>
    </row>
    <row r="9" spans="1:247" x14ac:dyDescent="0.25">
      <c r="A9" s="94" t="s">
        <v>331</v>
      </c>
      <c r="B9" s="83"/>
      <c r="C9" s="83"/>
      <c r="D9" s="83"/>
      <c r="E9" s="83">
        <f>-'Вхідні дані'!$B$4/'Вхідні дані'!$B$42*'Фінансовий потік'!E7*'Вхідні дані'!$B$7</f>
        <v>-18711.931330472104</v>
      </c>
      <c r="F9" s="83">
        <f>-'Вхідні дані'!$B$4/'Вхідні дані'!$B$42*'Фінансовий потік'!F7*'Вхідні дані'!$B$7</f>
        <v>-40096.995708154507</v>
      </c>
      <c r="G9" s="83">
        <f>-'Вхідні дані'!$B$4/'Вхідні дані'!$B$42*'Фінансовий потік'!G7*'Вхідні дані'!$B$7</f>
        <v>-41433.562231759664</v>
      </c>
      <c r="H9" s="83">
        <f>-'Вхідні дані'!$B$4/'Вхідні дані'!$B$42*'Фінансовий потік'!H7*'Вхідні дані'!$B$7</f>
        <v>-41433.562231759664</v>
      </c>
      <c r="I9" s="83">
        <f>-'Вхідні дані'!$B$4/'Вхідні дані'!$B$42*'Фінансовий потік'!I7*'Вхідні дані'!$B$7</f>
        <v>-38760.429184549364</v>
      </c>
      <c r="J9" s="83">
        <f>-'Вхідні дані'!$B$4/'Вхідні дані'!$B$42*'Фінансовий потік'!J7*'Вхідні дані'!$B$7</f>
        <v>-41433.562231759664</v>
      </c>
      <c r="K9" s="83">
        <f>-'Вхідні дані'!$B$4/'Вхідні дані'!$B$42*'Фінансовий потік'!K7*'Вхідні дані'!$B$7</f>
        <v>-17375.364806866957</v>
      </c>
      <c r="L9" s="83">
        <f>-'Вхідні дані'!$B$4/'Вхідні дані'!$B$42*'Фінансовий потік'!L7*'Вхідні дані'!$B$7</f>
        <v>0</v>
      </c>
      <c r="M9" s="83">
        <f>-'Вхідні дані'!$B$4/'Вхідні дані'!$B$42*'Фінансовий потік'!M7*'Вхідні дані'!$B$7</f>
        <v>0</v>
      </c>
      <c r="N9" s="83">
        <f>-'Вхідні дані'!$B$4/'Вхідні дані'!$B$42*'Фінансовий потік'!N7*'Вхідні дані'!$B$7</f>
        <v>0</v>
      </c>
      <c r="O9" s="83">
        <f>-'Вхідні дані'!$B$4/'Вхідні дані'!$B$42*'Фінансовий потік'!O7*'Вхідні дані'!$B$7</f>
        <v>0</v>
      </c>
      <c r="P9" s="83">
        <f>-'Вхідні дані'!$B$4/'Вхідні дані'!$B$42*'Фінансовий потік'!P7*'Вхідні дані'!$B$7</f>
        <v>0</v>
      </c>
      <c r="Q9" s="83">
        <f>-'Вхідні дані'!$B$4/'Вхідні дані'!$B$42*'Фінансовий потік'!Q7*'Вхідні дані'!$B$8</f>
        <v>-28067.896995708154</v>
      </c>
      <c r="R9" s="83">
        <f>-'Вхідні дані'!$B$4/'Вхідні дані'!$B$42*'Фінансовий потік'!R7*'Вхідні дані'!$B$8</f>
        <v>-60145.493562231757</v>
      </c>
      <c r="S9" s="83">
        <f>-'Вхідні дані'!$B$4/'Вхідні дані'!$B$42*'Фінансовий потік'!S7*'Вхідні дані'!$B$8</f>
        <v>-62150.343347639486</v>
      </c>
      <c r="T9" s="83">
        <f>-'Вхідні дані'!$B$4/'Вхідні дані'!$B$42*'Фінансовий потік'!T7*'Вхідні дані'!$B$8</f>
        <v>-62150.343347639486</v>
      </c>
      <c r="U9" s="83">
        <f>-'Вхідні дані'!$B$4/'Вхідні дані'!$B$42*'Фінансовий потік'!U7*'Вхідні дані'!$B$8</f>
        <v>-56135.793991416307</v>
      </c>
      <c r="V9" s="83">
        <f>-'Вхідні дані'!$B$4/'Вхідні дані'!$B$42*'Фінансовий потік'!V7*'Вхідні дані'!$B$8</f>
        <v>-62150.343347639486</v>
      </c>
      <c r="W9" s="83">
        <f>-'Вхідні дані'!$B$4/'Вхідні дані'!$B$42*'Фінансовий потік'!W7*'Вхідні дані'!$B$8</f>
        <v>-28067.896995708154</v>
      </c>
      <c r="X9" s="83">
        <f>-'Вхідні дані'!$B$4/'Вхідні дані'!$B$42*'Фінансовий потік'!X7*'Вхідні дані'!$B$8</f>
        <v>0</v>
      </c>
      <c r="Y9" s="83">
        <f>-'Вхідні дані'!$B$4/'Вхідні дані'!$B$42*'Фінансовий потік'!Y7*'Вхідні дані'!$B$8</f>
        <v>0</v>
      </c>
      <c r="Z9" s="83">
        <f>-'Вхідні дані'!$B$4/'Вхідні дані'!$B$42*'Фінансовий потік'!Z7*'Вхідні дані'!$B$8</f>
        <v>0</v>
      </c>
      <c r="AA9" s="83">
        <f>-'Вхідні дані'!$B$4/'Вхідні дані'!$B$42*'Фінансовий потік'!AA7*'Вхідні дані'!$B$8</f>
        <v>0</v>
      </c>
      <c r="AB9" s="83">
        <f>-'Вхідні дані'!$B$4/'Вхідні дані'!$B$42*'Фінансовий потік'!AB7*'Вхідні дані'!$B$8</f>
        <v>0</v>
      </c>
      <c r="AC9" s="83">
        <f>-'Вхідні дані'!$B$4/'Вхідні дані'!$B$42*'Фінансовий потік'!AC7*'Вхідні дані'!$B$9</f>
        <v>-42101.845493562229</v>
      </c>
      <c r="AD9" s="83">
        <f>-'Вхідні дані'!$B$4/'Вхідні дані'!$B$42*'Фінансовий потік'!AD7*'Вхідні дані'!$B$9</f>
        <v>-90218.240343347643</v>
      </c>
      <c r="AE9" s="83">
        <f>-'Вхідні дані'!$B$4/'Вхідні дані'!$B$42*'Фінансовий потік'!AE7*'Вхідні дані'!$B$9</f>
        <v>-93225.515021459229</v>
      </c>
      <c r="AF9" s="83">
        <f>-'Вхідні дані'!$B$4/'Вхідні дані'!$B$42*'Фінансовий потік'!AF7*'Вхідні дані'!$B$9</f>
        <v>-93225.515021459229</v>
      </c>
      <c r="AG9" s="83">
        <f>-'Вхідні дані'!$B$4/'Вхідні дані'!$B$42*'Фінансовий потік'!AG7*'Вхідні дані'!$B$9</f>
        <v>-84203.690987124457</v>
      </c>
      <c r="AH9" s="83">
        <f>-'Вхідні дані'!$B$4/'Вхідні дані'!$B$42*'Фінансовий потік'!AH7*'Вхідні дані'!$B$9</f>
        <v>-93225.515021459229</v>
      </c>
      <c r="AI9" s="83">
        <f>-'Вхідні дані'!$B$4/'Вхідні дані'!$B$42*'Фінансовий потік'!AI7*'Вхідні дані'!$B$9</f>
        <v>-42101.845493562229</v>
      </c>
      <c r="AJ9" s="83">
        <f>-'Вхідні дані'!$B$4/'Вхідні дані'!$B$42*'Фінансовий потік'!AJ7*'Вхідні дані'!$B$9</f>
        <v>0</v>
      </c>
      <c r="AK9" s="83">
        <f>-'Вхідні дані'!$B$4/'Вхідні дані'!$B$42*'Фінансовий потік'!AK7*'Вхідні дані'!$B$9</f>
        <v>0</v>
      </c>
      <c r="AL9" s="83">
        <f>-'Вхідні дані'!$B$4/'Вхідні дані'!$B$42*'Фінансовий потік'!AL7*'Вхідні дані'!$B$9</f>
        <v>0</v>
      </c>
      <c r="AM9" s="83">
        <f>-'Вхідні дані'!$B$4/'Вхідні дані'!$B$42*'Фінансовий потік'!AM7*'Вхідні дані'!$B$9</f>
        <v>0</v>
      </c>
      <c r="AN9" s="83">
        <f>-'Вхідні дані'!$B$4/'Вхідні дані'!$B$42*'Фінансовий потік'!AN7*'Вхідні дані'!$B$9</f>
        <v>0</v>
      </c>
      <c r="AO9" s="83">
        <f>-'Вхідні дані'!$B$4/'Вхідні дані'!$B$42*'Фінансовий потік'!AO7*'Вхідні дані'!$B$9</f>
        <v>-42101.845493562229</v>
      </c>
      <c r="AP9" s="83">
        <f>-'Вхідні дані'!$B$4/'Вхідні дані'!$B$42*'Фінансовий потік'!AP7*'Вхідні дані'!$B$9</f>
        <v>-90218.240343347643</v>
      </c>
      <c r="AQ9" s="83">
        <f>-'Вхідні дані'!$B$4/'Вхідні дані'!$B$42*'Фінансовий потік'!AQ7*'Вхідні дані'!$B$9</f>
        <v>-93225.515021459229</v>
      </c>
      <c r="AR9" s="83">
        <f>-'Вхідні дані'!$B$4/'Вхідні дані'!$B$42*'Фінансовий потік'!AR7*'Вхідні дані'!$B$9</f>
        <v>-93225.515021459229</v>
      </c>
      <c r="AS9" s="83">
        <f>-'Вхідні дані'!$B$4/'Вхідні дані'!$B$42*'Фінансовий потік'!AS7*'Вхідні дані'!$B$9</f>
        <v>-84203.690987124457</v>
      </c>
      <c r="AT9" s="83">
        <f>-'Вхідні дані'!$B$4/'Вхідні дані'!$B$42*'Фінансовий потік'!AT7*'Вхідні дані'!$B$9</f>
        <v>-93225.515021459229</v>
      </c>
      <c r="AU9" s="83">
        <f>-'Вхідні дані'!$B$4/'Вхідні дані'!$B$42*'Фінансовий потік'!AU7*'Вхідні дані'!$B$9</f>
        <v>-42101.845493562229</v>
      </c>
      <c r="AV9" s="83">
        <f>-'Вхідні дані'!$B$4/'Вхідні дані'!$B$42*'Фінансовий потік'!AV7*'Вхідні дані'!$B$9</f>
        <v>0</v>
      </c>
      <c r="AW9" s="83">
        <f>-'Вхідні дані'!$B$4/'Вхідні дані'!$B$42*'Фінансовий потік'!AW7*'Вхідні дані'!$B$9</f>
        <v>0</v>
      </c>
      <c r="AX9" s="83">
        <f>-'Вхідні дані'!$B$4/'Вхідні дані'!$B$42*'Фінансовий потік'!AX7*'Вхідні дані'!$B$9</f>
        <v>0</v>
      </c>
      <c r="AY9" s="83">
        <f>-'Вхідні дані'!$B$4/'Вхідні дані'!$B$42*'Фінансовий потік'!AY7*'Вхідні дані'!$B$9</f>
        <v>0</v>
      </c>
      <c r="AZ9" s="83">
        <f>-'Вхідні дані'!$B$4/'Вхідні дані'!$B$42*'Фінансовий потік'!AZ7*'Вхідні дані'!$B$9</f>
        <v>0</v>
      </c>
      <c r="BA9" s="83">
        <f>-'Вхідні дані'!$B$4/'Вхідні дані'!$B$42*'Фінансовий потік'!BA7*'Вхідні дані'!$B$9</f>
        <v>-42101.845493562229</v>
      </c>
      <c r="BB9" s="83">
        <f>-'Вхідні дані'!$B$4/'Вхідні дані'!$B$42*'Фінансовий потік'!BB7*'Вхідні дані'!$B$9</f>
        <v>-90218.240343347643</v>
      </c>
      <c r="BC9" s="83">
        <f>-'Вхідні дані'!$B$4/'Вхідні дані'!$B$42*'Фінансовий потік'!BC7*'Вхідні дані'!$B$9</f>
        <v>-93225.515021459229</v>
      </c>
      <c r="BD9" s="83">
        <f>-'Вхідні дані'!$B$4/'Вхідні дані'!$B$42*'Фінансовий потік'!BD7*'Вхідні дані'!$B$9</f>
        <v>-93225.515021459229</v>
      </c>
      <c r="BE9" s="83">
        <f>-'Вхідні дані'!$B$4/'Вхідні дані'!$B$42*'Фінансовий потік'!BE7*'Вхідні дані'!$B$9</f>
        <v>-87210.965665236057</v>
      </c>
      <c r="BF9" s="83">
        <f>-'Вхідні дані'!$B$4/'Вхідні дані'!$B$42*'Фінансовий потік'!BF7*'Вхідні дані'!$B$9</f>
        <v>-93225.515021459229</v>
      </c>
      <c r="BG9" s="83">
        <f>-'Вхідні дані'!$B$4/'Вхідні дані'!$B$42*'Фінансовий потік'!BG7*'Вхідні дані'!$B$9</f>
        <v>-39094.570815450643</v>
      </c>
      <c r="BH9" s="83">
        <f>-'Вхідні дані'!$B$4/'Вхідні дані'!$B$42*'Фінансовий потік'!BH7*'Вхідні дані'!$B$9</f>
        <v>0</v>
      </c>
      <c r="BI9" s="83">
        <f>-'Вхідні дані'!$B$4/'Вхідні дані'!$B$42*'Фінансовий потік'!BI7*'Вхідні дані'!$B$9</f>
        <v>0</v>
      </c>
      <c r="BJ9" s="83">
        <f>-'Вхідні дані'!$B$4/'Вхідні дані'!$B$42*'Фінансовий потік'!BJ7*'Вхідні дані'!$B$9</f>
        <v>0</v>
      </c>
      <c r="BK9" s="83">
        <f>-'Вхідні дані'!$B$4/'Вхідні дані'!$B$42*'Фінансовий потік'!BK7*'Вхідні дані'!$B$9</f>
        <v>0</v>
      </c>
      <c r="BL9" s="83">
        <f>-'Вхідні дані'!$B$4/'Вхідні дані'!$B$42*'Фінансовий потік'!BL7*'Вхідні дані'!$B$9</f>
        <v>0</v>
      </c>
      <c r="BM9" s="83">
        <f>-'Вхідні дані'!$B$4/'Вхідні дані'!$B$42*'Фінансовий потік'!BM7*'Вхідні дані'!$B$9</f>
        <v>-42101.845493562229</v>
      </c>
      <c r="BN9" s="83">
        <f>-'Вхідні дані'!$B$4/'Вхідні дані'!$B$42*'Фінансовий потік'!BN7*'Вхідні дані'!$B$9</f>
        <v>-90218.240343347643</v>
      </c>
      <c r="BO9" s="83">
        <f>-'Вхідні дані'!$B$4/'Вхідні дані'!$B$42*'Фінансовий потік'!BO7*'Вхідні дані'!$B$9</f>
        <v>-93225.515021459229</v>
      </c>
      <c r="BP9" s="83">
        <f>-'Вхідні дані'!$B$4/'Вхідні дані'!$B$42*'Фінансовий потік'!BP7*'Вхідні дані'!$B$9</f>
        <v>-93225.515021459229</v>
      </c>
      <c r="BQ9" s="83">
        <f>-'Вхідні дані'!$B$4/'Вхідні дані'!$B$42*'Фінансовий потік'!BQ7*'Вхідні дані'!$B$9</f>
        <v>-87210.965665236057</v>
      </c>
      <c r="BR9" s="83">
        <f>-'Вхідні дані'!$B$4/'Вхідні дані'!$B$42*'Фінансовий потік'!BR7*'Вхідні дані'!$B$9</f>
        <v>-93225.515021459229</v>
      </c>
      <c r="BS9" s="83">
        <f>-'Вхідні дані'!$B$4/'Вхідні дані'!$B$42*'Фінансовий потік'!BS7*'Вхідні дані'!$B$9</f>
        <v>-39094.570815450643</v>
      </c>
      <c r="BT9" s="83">
        <f>-'Вхідні дані'!$B$4/'Вхідні дані'!$B$42*'Фінансовий потік'!BT7*'Вхідні дані'!$B$9</f>
        <v>0</v>
      </c>
      <c r="BU9" s="83">
        <f>-'Вхідні дані'!$B$4/'Вхідні дані'!$B$42*'Фінансовий потік'!BU7*'Вхідні дані'!$B$9</f>
        <v>0</v>
      </c>
      <c r="BV9" s="83">
        <f>-'Вхідні дані'!$B$4/'Вхідні дані'!$B$42*'Фінансовий потік'!BV7*'Вхідні дані'!$B$9</f>
        <v>0</v>
      </c>
      <c r="BW9" s="83">
        <f>-'Вхідні дані'!$B$4/'Вхідні дані'!$B$42*'Фінансовий потік'!BW7*'Вхідні дані'!$B$9</f>
        <v>0</v>
      </c>
      <c r="BX9" s="83">
        <f>-'Вхідні дані'!$B$4/'Вхідні дані'!$B$42*'Фінансовий потік'!BX7*'Вхідні дані'!$B$9</f>
        <v>0</v>
      </c>
      <c r="BY9" s="83">
        <f>-'Вхідні дані'!$B$4/'Вхідні дані'!$B$42*'Фінансовий потік'!BY7*'Вхідні дані'!$B$9</f>
        <v>-42101.845493562229</v>
      </c>
      <c r="BZ9" s="83">
        <f>-'Вхідні дані'!$B$4/'Вхідні дані'!$B$42*'Фінансовий потік'!BZ7*'Вхідні дані'!$B$9</f>
        <v>-90218.240343347643</v>
      </c>
      <c r="CA9" s="83">
        <f>-'Вхідні дані'!$B$4/'Вхідні дані'!$B$42*'Фінансовий потік'!CA7*'Вхідні дані'!$B$9</f>
        <v>-93225.515021459229</v>
      </c>
      <c r="CB9" s="83">
        <f>-'Вхідні дані'!$B$4/'Вхідні дані'!$B$42*'Фінансовий потік'!CB7*'Вхідні дані'!$B$9</f>
        <v>-93225.515021459229</v>
      </c>
      <c r="CC9" s="83">
        <f>-'Вхідні дані'!$B$4/'Вхідні дані'!$B$42*'Фінансовий потік'!CC7*'Вхідні дані'!$B$9</f>
        <v>-87210.965665236057</v>
      </c>
      <c r="CD9" s="83">
        <f>-'Вхідні дані'!$B$4/'Вхідні дані'!$B$42*'Фінансовий потік'!CD7*'Вхідні дані'!$B$9</f>
        <v>-93225.515021459229</v>
      </c>
      <c r="CE9" s="83">
        <f>-'Вхідні дані'!$B$4/'Вхідні дані'!$B$42*'Фінансовий потік'!CE7*'Вхідні дані'!$B$9</f>
        <v>-39094.570815450643</v>
      </c>
      <c r="CF9" s="83">
        <f>-'Вхідні дані'!$B$4/'Вхідні дані'!$B$42*'Фінансовий потік'!CF7*'Вхідні дані'!$B$9</f>
        <v>0</v>
      </c>
      <c r="CG9" s="83">
        <f>-'Вхідні дані'!$B$4/'Вхідні дані'!$B$42*'Фінансовий потік'!CG7*'Вхідні дані'!$B$9</f>
        <v>0</v>
      </c>
      <c r="CH9" s="83">
        <f>-'Вхідні дані'!$B$4/'Вхідні дані'!$B$42*'Фінансовий потік'!CH7*'Вхідні дані'!$B$9</f>
        <v>0</v>
      </c>
      <c r="CI9" s="83">
        <f>-'Вхідні дані'!$B$4/'Вхідні дані'!$B$42*'Фінансовий потік'!CI7*'Вхідні дані'!$B$9</f>
        <v>0</v>
      </c>
      <c r="CJ9" s="83">
        <f>-'Вхідні дані'!$B$4/'Вхідні дані'!$B$42*'Фінансовий потік'!CJ7*'Вхідні дані'!$B$9</f>
        <v>0</v>
      </c>
      <c r="CK9" s="83">
        <f>-'Вхідні дані'!$B$4/'Вхідні дані'!$B$42*'Фінансовий потік'!CK7*'Вхідні дані'!$B$9</f>
        <v>-42101.845493562229</v>
      </c>
      <c r="CL9" s="83">
        <f>-'Вхідні дані'!$B$4/'Вхідні дані'!$B$42*'Фінансовий потік'!CL7*'Вхідні дані'!$B$9</f>
        <v>-90218.240343347643</v>
      </c>
      <c r="CM9" s="83">
        <f>-'Вхідні дані'!$B$4/'Вхідні дані'!$B$42*'Фінансовий потік'!CM7*'Вхідні дані'!$B$9</f>
        <v>-93225.515021459229</v>
      </c>
      <c r="CN9" s="83">
        <f>-'Вхідні дані'!$B$4/'Вхідні дані'!$B$42*'Фінансовий потік'!CN7*'Вхідні дані'!$B$9</f>
        <v>-93225.515021459229</v>
      </c>
      <c r="CO9" s="83">
        <f>-'Вхідні дані'!$B$4/'Вхідні дані'!$B$42*'Фінансовий потік'!CO7*'Вхідні дані'!$B$9</f>
        <v>-87210.965665236057</v>
      </c>
      <c r="CP9" s="83">
        <f>-'Вхідні дані'!$B$4/'Вхідні дані'!$B$42*'Фінансовий потік'!CP7*'Вхідні дані'!$B$9</f>
        <v>-93225.515021459229</v>
      </c>
      <c r="CQ9" s="83">
        <f>-'Вхідні дані'!$B$4/'Вхідні дані'!$B$42*'Фінансовий потік'!CQ7*'Вхідні дані'!$B$9</f>
        <v>-39094.570815450643</v>
      </c>
      <c r="CR9" s="83">
        <f>-'Вхідні дані'!$B$4/'Вхідні дані'!$B$42*'Фінансовий потік'!CR7*'Вхідні дані'!$B$9</f>
        <v>0</v>
      </c>
      <c r="CS9" s="83">
        <f>-'Вхідні дані'!$B$4/'Вхідні дані'!$B$42*'Фінансовий потік'!CS7*'Вхідні дані'!$B$9</f>
        <v>0</v>
      </c>
      <c r="CT9" s="83">
        <f>-'Вхідні дані'!$B$4/'Вхідні дані'!$B$42*'Фінансовий потік'!CT7*'Вхідні дані'!$B$9</f>
        <v>0</v>
      </c>
      <c r="CU9" s="83">
        <f>-'Вхідні дані'!$B$4/'Вхідні дані'!$B$42*'Фінансовий потік'!CU7*'Вхідні дані'!$B$9</f>
        <v>0</v>
      </c>
      <c r="CV9" s="83">
        <f>-'Вхідні дані'!$B$4/'Вхідні дані'!$B$42*'Фінансовий потік'!CV7*'Вхідні дані'!$B$9</f>
        <v>0</v>
      </c>
      <c r="CW9" s="83">
        <f>-'Вхідні дані'!$B$4/'Вхідні дані'!$B$42*'Фінансовий потік'!CW7*'Вхідні дані'!$B$9</f>
        <v>-42101.845493562229</v>
      </c>
      <c r="CX9" s="83">
        <f>-'Вхідні дані'!$B$4/'Вхідні дані'!$B$42*'Фінансовий потік'!CX7*'Вхідні дані'!$B$9</f>
        <v>-90218.240343347643</v>
      </c>
      <c r="CY9" s="83">
        <f>-'Вхідні дані'!$B$4/'Вхідні дані'!$B$42*'Фінансовий потік'!CY7*'Вхідні дані'!$B$9</f>
        <v>-93225.515021459229</v>
      </c>
      <c r="CZ9" s="83">
        <f>-'Вхідні дані'!$B$4/'Вхідні дані'!$B$42*'Фінансовий потік'!CZ7*'Вхідні дані'!$B$9</f>
        <v>-93225.515021459229</v>
      </c>
      <c r="DA9" s="83">
        <f>-'Вхідні дані'!$B$4/'Вхідні дані'!$B$42*'Фінансовий потік'!DA7*'Вхідні дані'!$B$9</f>
        <v>-87210.965665236057</v>
      </c>
      <c r="DB9" s="83">
        <f>-'Вхідні дані'!$B$4/'Вхідні дані'!$B$42*'Фінансовий потік'!DB7*'Вхідні дані'!$B$9</f>
        <v>-93225.515021459229</v>
      </c>
      <c r="DC9" s="83">
        <f>-'Вхідні дані'!$B$4/'Вхідні дані'!$B$42*'Фінансовий потік'!DC7*'Вхідні дані'!$B$9</f>
        <v>-39094.570815450643</v>
      </c>
      <c r="DD9" s="83">
        <f>-'Вхідні дані'!$B$4/'Вхідні дані'!$B$42*'Фінансовий потік'!DD7*'Вхідні дані'!$B$9</f>
        <v>0</v>
      </c>
      <c r="DE9" s="83">
        <f>-'Вхідні дані'!$B$4/'Вхідні дані'!$B$42*'Фінансовий потік'!DE7*'Вхідні дані'!$B$9</f>
        <v>0</v>
      </c>
      <c r="DF9" s="83">
        <f>-'Вхідні дані'!$B$4/'Вхідні дані'!$B$42*'Фінансовий потік'!DF7*'Вхідні дані'!$B$9</f>
        <v>0</v>
      </c>
      <c r="DG9" s="83">
        <f>-'Вхідні дані'!$B$4/'Вхідні дані'!$B$42*'Фінансовий потік'!DG7*'Вхідні дані'!$B$9</f>
        <v>0</v>
      </c>
      <c r="DH9" s="83">
        <f>-'Вхідні дані'!$B$4/'Вхідні дані'!$B$42*'Фінансовий потік'!DH7*'Вхідні дані'!$B$9</f>
        <v>0</v>
      </c>
      <c r="DI9" s="83">
        <f>-'Вхідні дані'!$B$4/'Вхідні дані'!$B$42*'Фінансовий потік'!DI7*'Вхідні дані'!$B$9</f>
        <v>-42101.845493562229</v>
      </c>
      <c r="DJ9" s="83">
        <f>-'Вхідні дані'!$B$4/'Вхідні дані'!$B$42*'Фінансовий потік'!DJ7*'Вхідні дані'!$B$9</f>
        <v>-90218.240343347643</v>
      </c>
      <c r="DK9" s="83">
        <f>-'Вхідні дані'!$B$4/'Вхідні дані'!$B$42*'Фінансовий потік'!DK7*'Вхідні дані'!$B$9</f>
        <v>-93225.515021459229</v>
      </c>
      <c r="DL9" s="83">
        <f>-'Вхідні дані'!$B$4/'Вхідні дані'!$B$42*'Фінансовий потік'!DL7*'Вхідні дані'!$B$9</f>
        <v>-93225.515021459229</v>
      </c>
      <c r="DM9" s="83">
        <f>-'Вхідні дані'!$B$4/'Вхідні дані'!$B$42*'Фінансовий потік'!DM7*'Вхідні дані'!$B$9</f>
        <v>-87210.965665236057</v>
      </c>
      <c r="DN9" s="83">
        <f>-'Вхідні дані'!$B$4/'Вхідні дані'!$B$42*'Фінансовий потік'!DN7*'Вхідні дані'!$B$9</f>
        <v>-93225.515021459229</v>
      </c>
      <c r="DO9" s="83">
        <f>-'Вхідні дані'!$B$4/'Вхідні дані'!$B$42*'Фінансовий потік'!DO7*'Вхідні дані'!$B$9</f>
        <v>-39094.570815450643</v>
      </c>
      <c r="DP9" s="83">
        <f>-'Вхідні дані'!$B$4/'Вхідні дані'!$B$42*'Фінансовий потік'!DP7*'Вхідні дані'!$B$9</f>
        <v>0</v>
      </c>
      <c r="DQ9" s="83">
        <f>-'Вхідні дані'!$B$4/'Вхідні дані'!$B$42*'Фінансовий потік'!DQ7*'Вхідні дані'!$B$9</f>
        <v>0</v>
      </c>
      <c r="DR9" s="83">
        <f>-'Вхідні дані'!$B$4/'Вхідні дані'!$B$42*'Фінансовий потік'!DR7*'Вхідні дані'!$B$9</f>
        <v>0</v>
      </c>
      <c r="DS9" s="83">
        <f>-'Вхідні дані'!$B$4/'Вхідні дані'!$B$42*'Фінансовий потік'!DS7*'Вхідні дані'!$B$9</f>
        <v>0</v>
      </c>
      <c r="DT9" s="83">
        <f>-'Вхідні дані'!$B$4/'Вхідні дані'!$B$42*'Фінансовий потік'!DT7*'Вхідні дані'!$B$9</f>
        <v>0</v>
      </c>
      <c r="DU9" s="83">
        <f>-'Вхідні дані'!$B$4/'Вхідні дані'!$B$42*'Фінансовий потік'!DU7*'Вхідні дані'!$B$9</f>
        <v>-42101.845493562229</v>
      </c>
      <c r="DV9" s="83">
        <f>-'Вхідні дані'!$B$4/'Вхідні дані'!$B$42*'Фінансовий потік'!DV7*'Вхідні дані'!$B$9</f>
        <v>-90218.240343347643</v>
      </c>
      <c r="DW9" s="83">
        <f>-'Вхідні дані'!$B$4/'Вхідні дані'!$B$42*'Фінансовий потік'!DW7*'Вхідні дані'!$B$9</f>
        <v>-93225.515021459229</v>
      </c>
      <c r="DX9" s="83">
        <f>-'Вхідні дані'!$B$4/'Вхідні дані'!$B$42*'Фінансовий потік'!DX7*'Вхідні дані'!$B$9</f>
        <v>-93225.515021459229</v>
      </c>
      <c r="DY9" s="83">
        <f>-'Вхідні дані'!$B$4/'Вхідні дані'!$B$42*'Фінансовий потік'!DY7*'Вхідні дані'!$B$9</f>
        <v>-87210.965665236057</v>
      </c>
      <c r="DZ9" s="83">
        <f>-'Вхідні дані'!$B$4/'Вхідні дані'!$B$42*'Фінансовий потік'!DZ7*'Вхідні дані'!$B$9</f>
        <v>-93225.515021459229</v>
      </c>
      <c r="EA9" s="83">
        <f>-'Вхідні дані'!$B$4/'Вхідні дані'!$B$42*'Фінансовий потік'!EA7*'Вхідні дані'!$B$9</f>
        <v>-39094.570815450643</v>
      </c>
      <c r="EB9" s="83">
        <f>-'Вхідні дані'!$B$4/'Вхідні дані'!$B$42*'Фінансовий потік'!EB7*'Вхідні дані'!$B$9</f>
        <v>0</v>
      </c>
      <c r="EC9" s="83">
        <f>-'Вхідні дані'!$B$4/'Вхідні дані'!$B$42*'Фінансовий потік'!EC7*'Вхідні дані'!$B$9</f>
        <v>0</v>
      </c>
      <c r="ED9" s="83">
        <f>-'Вхідні дані'!$B$4/'Вхідні дані'!$B$42*'Фінансовий потік'!ED7*'Вхідні дані'!$B$9</f>
        <v>0</v>
      </c>
      <c r="EE9" s="83">
        <f>-'Вхідні дані'!$B$4/'Вхідні дані'!$B$42*'Фінансовий потік'!EE7*'Вхідні дані'!$B$9</f>
        <v>0</v>
      </c>
      <c r="EF9" s="83">
        <f>-'Вхідні дані'!$B$4/'Вхідні дані'!$B$42*'Фінансовий потік'!EF7*'Вхідні дані'!$B$9</f>
        <v>0</v>
      </c>
      <c r="EG9" s="83">
        <f>-'Вхідні дані'!$B$4/'Вхідні дані'!$B$42*'Фінансовий потік'!EG7*'Вхідні дані'!$B$9</f>
        <v>-42101.845493562229</v>
      </c>
      <c r="EH9" s="83">
        <f>-'Вхідні дані'!$B$4/'Вхідні дані'!$B$42*'Фінансовий потік'!EH7*'Вхідні дані'!$B$9</f>
        <v>-90218.240343347643</v>
      </c>
      <c r="EI9" s="83">
        <f>-'Вхідні дані'!$B$4/'Вхідні дані'!$B$42*'Фінансовий потік'!EI7*'Вхідні дані'!$B$9</f>
        <v>-93225.515021459229</v>
      </c>
      <c r="EJ9" s="83">
        <f>-'Вхідні дані'!$B$4/'Вхідні дані'!$B$42*'Фінансовий потік'!EJ7*'Вхідні дані'!$B$9</f>
        <v>-93225.515021459229</v>
      </c>
      <c r="EK9" s="83">
        <f>-'Вхідні дані'!$B$4/'Вхідні дані'!$B$42*'Фінансовий потік'!EK7*'Вхідні дані'!$B$9</f>
        <v>-87210.965665236057</v>
      </c>
      <c r="EL9" s="83">
        <f>-'Вхідні дані'!$B$4/'Вхідні дані'!$B$42*'Фінансовий потік'!EL7*'Вхідні дані'!$B$9</f>
        <v>-93225.515021459229</v>
      </c>
      <c r="EM9" s="83">
        <f>-'Вхідні дані'!$B$4/'Вхідні дані'!$B$42*'Фінансовий потік'!EM7*'Вхідні дані'!$B$9</f>
        <v>-39094.570815450643</v>
      </c>
      <c r="EN9" s="83">
        <f>-'Вхідні дані'!$B$4/'Вхідні дані'!$B$42*'Фінансовий потік'!EN7*'Вхідні дані'!$B$9</f>
        <v>0</v>
      </c>
      <c r="EO9" s="83">
        <f>-'Вхідні дані'!$B$4/'Вхідні дані'!$B$42*'Фінансовий потік'!EO7*'Вхідні дані'!$B$9</f>
        <v>0</v>
      </c>
      <c r="EP9" s="83">
        <f>-'Вхідні дані'!$B$4/'Вхідні дані'!$B$42*'Фінансовий потік'!EP7*'Вхідні дані'!$B$9</f>
        <v>0</v>
      </c>
      <c r="EQ9" s="83">
        <f>-'Вхідні дані'!$B$4/'Вхідні дані'!$B$42*'Фінансовий потік'!EQ7*'Вхідні дані'!$B$9</f>
        <v>0</v>
      </c>
      <c r="ER9" s="83">
        <f>-'Вхідні дані'!$B$4/'Вхідні дані'!$B$42*'Фінансовий потік'!ER7*'Вхідні дані'!$B$9</f>
        <v>0</v>
      </c>
      <c r="ES9" s="83">
        <f>-'Вхідні дані'!$B$4/'Вхідні дані'!$B$42*'Фінансовий потік'!ES7*'Вхідні дані'!$B$9</f>
        <v>-42101.845493562229</v>
      </c>
      <c r="ET9" s="83">
        <f>-'Вхідні дані'!$B$4/'Вхідні дані'!$B$42*'Фінансовий потік'!ET7*'Вхідні дані'!$B$9</f>
        <v>-90218.240343347643</v>
      </c>
      <c r="EU9" s="83">
        <f>-'Вхідні дані'!$B$4/'Вхідні дані'!$B$42*'Фінансовий потік'!EU7*'Вхідні дані'!$B$9</f>
        <v>-93225.515021459229</v>
      </c>
      <c r="EV9" s="83">
        <f>-'Вхідні дані'!$B$4/'Вхідні дані'!$B$42*'Фінансовий потік'!EV7*'Вхідні дані'!$B$9</f>
        <v>-93225.515021459229</v>
      </c>
      <c r="EW9" s="83">
        <f>-'Вхідні дані'!$B$4/'Вхідні дані'!$B$42*'Фінансовий потік'!EW7*'Вхідні дані'!$B$9</f>
        <v>-87210.965665236057</v>
      </c>
      <c r="EX9" s="83">
        <f>-'Вхідні дані'!$B$4/'Вхідні дані'!$B$42*'Фінансовий потік'!EX7*'Вхідні дані'!$B$9</f>
        <v>-93225.515021459229</v>
      </c>
      <c r="EY9" s="83">
        <f>-'Вхідні дані'!$B$4/'Вхідні дані'!$B$42*'Фінансовий потік'!EY7*'Вхідні дані'!$B$9</f>
        <v>-39094.570815450643</v>
      </c>
      <c r="EZ9" s="83">
        <f>-'Вхідні дані'!$B$4/'Вхідні дані'!$B$42*'Фінансовий потік'!EZ7*'Вхідні дані'!$B$9</f>
        <v>0</v>
      </c>
      <c r="FA9" s="83">
        <f>-'Вхідні дані'!$B$4/'Вхідні дані'!$B$42*'Фінансовий потік'!FA7*'Вхідні дані'!$B$9</f>
        <v>0</v>
      </c>
      <c r="FB9" s="83">
        <f>-'Вхідні дані'!$B$4/'Вхідні дані'!$B$42*'Фінансовий потік'!FB7*'Вхідні дані'!$B$9</f>
        <v>0</v>
      </c>
      <c r="FC9" s="83">
        <f>-'Вхідні дані'!$B$4/'Вхідні дані'!$B$42*'Фінансовий потік'!FC7*'Вхідні дані'!$B$9</f>
        <v>0</v>
      </c>
      <c r="FD9" s="83">
        <f>-'Вхідні дані'!$B$4/'Вхідні дані'!$B$42*'Фінансовий потік'!FD7*'Вхідні дані'!$B$9</f>
        <v>0</v>
      </c>
      <c r="FE9" s="83">
        <f>-'Вхідні дані'!$B$4/'Вхідні дані'!$B$42*'Фінансовий потік'!FE7*'Вхідні дані'!$B$9</f>
        <v>-42101.845493562229</v>
      </c>
      <c r="FF9" s="83">
        <f>-'Вхідні дані'!$B$4/'Вхідні дані'!$B$42*'Фінансовий потік'!FF7*'Вхідні дані'!$B$9</f>
        <v>-90218.240343347643</v>
      </c>
      <c r="FG9" s="83">
        <f>-'Вхідні дані'!$B$4/'Вхідні дані'!$B$42*'Фінансовий потік'!FG7*'Вхідні дані'!$B$9</f>
        <v>-93225.515021459229</v>
      </c>
      <c r="FH9" s="83">
        <f>-'Вхідні дані'!$B$4/'Вхідні дані'!$B$42*'Фінансовий потік'!FH7*'Вхідні дані'!$B$9</f>
        <v>-93225.515021459229</v>
      </c>
      <c r="FI9" s="83">
        <f>-'Вхідні дані'!$B$4/'Вхідні дані'!$B$42*'Фінансовий потік'!FI7*'Вхідні дані'!$B$9</f>
        <v>-87210.965665236057</v>
      </c>
      <c r="FJ9" s="83">
        <f>-'Вхідні дані'!$B$4/'Вхідні дані'!$B$42*'Фінансовий потік'!FJ7*'Вхідні дані'!$B$9</f>
        <v>-93225.515021459229</v>
      </c>
      <c r="FK9" s="83">
        <f>-'Вхідні дані'!$B$4/'Вхідні дані'!$B$42*'Фінансовий потік'!FK7*'Вхідні дані'!$B$9</f>
        <v>-39094.570815450643</v>
      </c>
      <c r="FL9" s="83">
        <f>-'Вхідні дані'!$B$4/'Вхідні дані'!$B$42*'Фінансовий потік'!FL7*'Вхідні дані'!$B$9</f>
        <v>0</v>
      </c>
      <c r="FM9" s="83">
        <f>-'Вхідні дані'!$B$4/'Вхідні дані'!$B$42*'Фінансовий потік'!FM7*'Вхідні дані'!$B$9</f>
        <v>0</v>
      </c>
      <c r="FN9" s="83">
        <f>-'Вхідні дані'!$B$4/'Вхідні дані'!$B$42*'Фінансовий потік'!FN7*'Вхідні дані'!$B$9</f>
        <v>0</v>
      </c>
      <c r="FO9" s="83">
        <f>-'Вхідні дані'!$B$4/'Вхідні дані'!$B$42*'Фінансовий потік'!FO7*'Вхідні дані'!$B$9</f>
        <v>0</v>
      </c>
      <c r="FP9" s="83">
        <f>-'Вхідні дані'!$B$4/'Вхідні дані'!$B$42*'Фінансовий потік'!FP7*'Вхідні дані'!$B$9</f>
        <v>0</v>
      </c>
      <c r="FQ9" s="83">
        <f>-'Вхідні дані'!$B$4/'Вхідні дані'!$B$42*'Фінансовий потік'!FQ7*'Вхідні дані'!$B$9</f>
        <v>-42101.845493562229</v>
      </c>
      <c r="FR9" s="83">
        <f>-'Вхідні дані'!$B$4/'Вхідні дані'!$B$42*'Фінансовий потік'!FR7*'Вхідні дані'!$B$9</f>
        <v>-90218.240343347643</v>
      </c>
      <c r="FS9" s="83">
        <f>-'Вхідні дані'!$B$4/'Вхідні дані'!$B$42*'Фінансовий потік'!FS7*'Вхідні дані'!$B$9</f>
        <v>-93225.515021459229</v>
      </c>
      <c r="FT9" s="83">
        <f>-'Вхідні дані'!$B$4/'Вхідні дані'!$B$42*'Фінансовий потік'!FT7*'Вхідні дані'!$B$9</f>
        <v>-93225.515021459229</v>
      </c>
      <c r="FU9" s="83">
        <f>-'Вхідні дані'!$B$4/'Вхідні дані'!$B$42*'Фінансовий потік'!FU7*'Вхідні дані'!$B$9</f>
        <v>-87210.965665236057</v>
      </c>
      <c r="FV9" s="83">
        <f>-'Вхідні дані'!$B$4/'Вхідні дані'!$B$42*'Фінансовий потік'!FV7*'Вхідні дані'!$B$9</f>
        <v>-93225.515021459229</v>
      </c>
      <c r="FW9" s="83">
        <f>-'Вхідні дані'!$B$4/'Вхідні дані'!$B$42*'Фінансовий потік'!FW7*'Вхідні дані'!$B$9</f>
        <v>-39094.570815450643</v>
      </c>
      <c r="FX9" s="83">
        <f>-'Вхідні дані'!$B$4/'Вхідні дані'!$B$42*'Фінансовий потік'!FX7*'Вхідні дані'!$B$9</f>
        <v>0</v>
      </c>
      <c r="FY9" s="83">
        <f>-'Вхідні дані'!$B$4/'Вхідні дані'!$B$42*'Фінансовий потік'!FY7*'Вхідні дані'!$B$9</f>
        <v>0</v>
      </c>
      <c r="FZ9" s="83">
        <f>-'Вхідні дані'!$B$4/'Вхідні дані'!$B$42*'Фінансовий потік'!FZ7*'Вхідні дані'!$B$9</f>
        <v>0</v>
      </c>
      <c r="GA9" s="83">
        <f>-'Вхідні дані'!$B$4/'Вхідні дані'!$B$42*'Фінансовий потік'!GA7*'Вхідні дані'!$B$9</f>
        <v>0</v>
      </c>
      <c r="GB9" s="83">
        <f>-'Вхідні дані'!$B$4/'Вхідні дані'!$B$42*'Фінансовий потік'!GB7*'Вхідні дані'!$B$9</f>
        <v>0</v>
      </c>
      <c r="GC9" s="83">
        <f>-'Вхідні дані'!$B$4/'Вхідні дані'!$B$42*'Фінансовий потік'!GC7*'Вхідні дані'!$B$9</f>
        <v>-42101.845493562229</v>
      </c>
      <c r="GD9" s="83">
        <f>-'Вхідні дані'!$B$4/'Вхідні дані'!$B$42*'Фінансовий потік'!GD7*'Вхідні дані'!$B$9</f>
        <v>-90218.240343347643</v>
      </c>
      <c r="GE9" s="83">
        <f>-'Вхідні дані'!$B$4/'Вхідні дані'!$B$42*'Фінансовий потік'!GE7*'Вхідні дані'!$B$9</f>
        <v>-93225.515021459229</v>
      </c>
      <c r="GF9" s="83">
        <f>-'Вхідні дані'!$B$4/'Вхідні дані'!$B$42*'Фінансовий потік'!GF7*'Вхідні дані'!$B$9</f>
        <v>-93225.515021459229</v>
      </c>
      <c r="GG9" s="83">
        <f>-'Вхідні дані'!$B$4/'Вхідні дані'!$B$42*'Фінансовий потік'!GG7*'Вхідні дані'!$B$9</f>
        <v>-87210.965665236057</v>
      </c>
      <c r="GH9" s="83">
        <f>-'Вхідні дані'!$B$4/'Вхідні дані'!$B$42*'Фінансовий потік'!GH7*'Вхідні дані'!$B$9</f>
        <v>-93225.515021459229</v>
      </c>
      <c r="GI9" s="83">
        <f>-'Вхідні дані'!$B$4/'Вхідні дані'!$B$42*'Фінансовий потік'!GI7*'Вхідні дані'!$B$9</f>
        <v>-39094.570815450643</v>
      </c>
      <c r="GJ9" s="83">
        <f>-'Вхідні дані'!$B$4/'Вхідні дані'!$B$42*'Фінансовий потік'!GJ7*'Вхідні дані'!$B$9</f>
        <v>0</v>
      </c>
      <c r="GK9" s="83">
        <f>-'Вхідні дані'!$B$4/'Вхідні дані'!$B$42*'Фінансовий потік'!GK7*'Вхідні дані'!$B$9</f>
        <v>0</v>
      </c>
      <c r="GL9" s="83">
        <f>-'Вхідні дані'!$B$4/'Вхідні дані'!$B$42*'Фінансовий потік'!GL7*'Вхідні дані'!$B$9</f>
        <v>0</v>
      </c>
      <c r="GM9" s="83">
        <f>-'Вхідні дані'!$B$4/'Вхідні дані'!$B$42*'Фінансовий потік'!GM7*'Вхідні дані'!$B$9</f>
        <v>0</v>
      </c>
      <c r="GN9" s="83">
        <f>-'Вхідні дані'!$B$4/'Вхідні дані'!$B$42*'Фінансовий потік'!GN7*'Вхідні дані'!$B$9</f>
        <v>0</v>
      </c>
      <c r="GO9" s="83">
        <f>-'Вхідні дані'!$B$4/'Вхідні дані'!$B$42*'Фінансовий потік'!GO7*'Вхідні дані'!$B$9</f>
        <v>-42101.845493562229</v>
      </c>
      <c r="GP9" s="83">
        <f>-'Вхідні дані'!$B$4/'Вхідні дані'!$B$42*'Фінансовий потік'!GP7*'Вхідні дані'!$B$9</f>
        <v>-90218.240343347643</v>
      </c>
      <c r="GQ9" s="83">
        <f>-'Вхідні дані'!$B$4/'Вхідні дані'!$B$42*'Фінансовий потік'!GQ7*'Вхідні дані'!$B$9</f>
        <v>-93225.515021459229</v>
      </c>
      <c r="GR9" s="83">
        <f>-'Вхідні дані'!$B$4/'Вхідні дані'!$B$42*'Фінансовий потік'!GR7*'Вхідні дані'!$B$9</f>
        <v>-93225.515021459229</v>
      </c>
      <c r="GS9" s="83">
        <f>-'Вхідні дані'!$B$4/'Вхідні дані'!$B$42*'Фінансовий потік'!GS7*'Вхідні дані'!$B$9</f>
        <v>-87210.965665236057</v>
      </c>
      <c r="GT9" s="83">
        <f>-'Вхідні дані'!$B$4/'Вхідні дані'!$B$42*'Фінансовий потік'!GT7*'Вхідні дані'!$B$9</f>
        <v>-93225.515021459229</v>
      </c>
      <c r="GU9" s="83">
        <f>-'Вхідні дані'!$B$4/'Вхідні дані'!$B$42*'Фінансовий потік'!GU7*'Вхідні дані'!$B$9</f>
        <v>-39094.570815450643</v>
      </c>
      <c r="GV9" s="83">
        <f>-'Вхідні дані'!$B$4/'Вхідні дані'!$B$42*'Фінансовий потік'!GV7*'Вхідні дані'!$B$9</f>
        <v>0</v>
      </c>
      <c r="GW9" s="83">
        <f>-'Вхідні дані'!$B$4/'Вхідні дані'!$B$42*'Фінансовий потік'!GW7*'Вхідні дані'!$B$9</f>
        <v>0</v>
      </c>
      <c r="GX9" s="83">
        <f>-'Вхідні дані'!$B$4/'Вхідні дані'!$B$42*'Фінансовий потік'!GX7*'Вхідні дані'!$B$9</f>
        <v>0</v>
      </c>
      <c r="GY9" s="83">
        <f>-'Вхідні дані'!$B$4/'Вхідні дані'!$B$42*'Фінансовий потік'!GY7*'Вхідні дані'!$B$9</f>
        <v>0</v>
      </c>
      <c r="GZ9" s="83">
        <f>-'Вхідні дані'!$B$4/'Вхідні дані'!$B$42*'Фінансовий потік'!GZ7*'Вхідні дані'!$B$9</f>
        <v>0</v>
      </c>
      <c r="HA9" s="83">
        <f>-'Вхідні дані'!$B$4/'Вхідні дані'!$B$42*'Фінансовий потік'!HA7*'Вхідні дані'!$B$9</f>
        <v>-42101.845493562229</v>
      </c>
      <c r="HB9" s="83">
        <f>-'Вхідні дані'!$B$4/'Вхідні дані'!$B$42*'Фінансовий потік'!HB7*'Вхідні дані'!$B$9</f>
        <v>-90218.240343347643</v>
      </c>
      <c r="HC9" s="83">
        <f>-'Вхідні дані'!$B$4/'Вхідні дані'!$B$42*'Фінансовий потік'!HC7*'Вхідні дані'!$B$9</f>
        <v>-93225.515021459229</v>
      </c>
      <c r="HD9" s="83">
        <f>-'Вхідні дані'!$B$4/'Вхідні дані'!$B$42*'Фінансовий потік'!HD7*'Вхідні дані'!$B$9</f>
        <v>-93225.515021459229</v>
      </c>
      <c r="HE9" s="83">
        <f>-'Вхідні дані'!$B$4/'Вхідні дані'!$B$42*'Фінансовий потік'!HE7*'Вхідні дані'!$B$9</f>
        <v>-87210.965665236057</v>
      </c>
      <c r="HF9" s="83">
        <f>-'Вхідні дані'!$B$4/'Вхідні дані'!$B$42*'Фінансовий потік'!HF7*'Вхідні дані'!$B$9</f>
        <v>-93225.515021459229</v>
      </c>
      <c r="HG9" s="83">
        <f>-'Вхідні дані'!$B$4/'Вхідні дані'!$B$42*'Фінансовий потік'!HG7*'Вхідні дані'!$B$9</f>
        <v>-39094.570815450643</v>
      </c>
      <c r="HH9" s="83">
        <f>-'Вхідні дані'!$B$4/'Вхідні дані'!$B$42*'Фінансовий потік'!HH7*'Вхідні дані'!$B$9</f>
        <v>0</v>
      </c>
      <c r="HI9" s="83">
        <f>-'Вхідні дані'!$B$4/'Вхідні дані'!$B$42*'Фінансовий потік'!HI7*'Вхідні дані'!$B$9</f>
        <v>0</v>
      </c>
      <c r="HJ9" s="83">
        <f>-'Вхідні дані'!$B$4/'Вхідні дані'!$B$42*'Фінансовий потік'!HJ7*'Вхідні дані'!$B$9</f>
        <v>0</v>
      </c>
      <c r="HK9" s="83">
        <f>-'Вхідні дані'!$B$4/'Вхідні дані'!$B$42*'Фінансовий потік'!HK7*'Вхідні дані'!$B$9</f>
        <v>0</v>
      </c>
      <c r="HL9" s="83">
        <f>-'Вхідні дані'!$B$4/'Вхідні дані'!$B$42*'Фінансовий потік'!HL7*'Вхідні дані'!$B$9</f>
        <v>0</v>
      </c>
      <c r="HM9" s="83">
        <f>-'Вхідні дані'!$B$4/'Вхідні дані'!$B$42*'Фінансовий потік'!HM7*'Вхідні дані'!$B$9</f>
        <v>-42101.845493562229</v>
      </c>
      <c r="HN9" s="83">
        <f>-'Вхідні дані'!$B$4/'Вхідні дані'!$B$42*'Фінансовий потік'!HN7*'Вхідні дані'!$B$9</f>
        <v>-90218.240343347643</v>
      </c>
      <c r="HO9" s="83">
        <f>-'Вхідні дані'!$B$4/'Вхідні дані'!$B$42*'Фінансовий потік'!HO7*'Вхідні дані'!$B$9</f>
        <v>-93225.515021459229</v>
      </c>
      <c r="HP9" s="83">
        <f>-'Вхідні дані'!$B$4/'Вхідні дані'!$B$42*'Фінансовий потік'!HP7*'Вхідні дані'!$B$9</f>
        <v>-93225.515021459229</v>
      </c>
      <c r="HQ9" s="83">
        <f>-'Вхідні дані'!$B$4/'Вхідні дані'!$B$42*'Фінансовий потік'!HQ7*'Вхідні дані'!$B$9</f>
        <v>-87210.965665236057</v>
      </c>
      <c r="HR9" s="83">
        <f>-'Вхідні дані'!$B$4/'Вхідні дані'!$B$42*'Фінансовий потік'!HR7*'Вхідні дані'!$B$9</f>
        <v>-93225.515021459229</v>
      </c>
      <c r="HS9" s="83">
        <f>-'Вхідні дані'!$B$4/'Вхідні дані'!$B$42*'Фінансовий потік'!HS7*'Вхідні дані'!$B$9</f>
        <v>-39094.570815450643</v>
      </c>
      <c r="HT9" s="83">
        <f>-'Вхідні дані'!$B$4/'Вхідні дані'!$B$42*'Фінансовий потік'!HT7*'Вхідні дані'!$B$9</f>
        <v>0</v>
      </c>
      <c r="HU9" s="83">
        <f>-'Вхідні дані'!$B$4/'Вхідні дані'!$B$42*'Фінансовий потік'!HU7*'Вхідні дані'!$B$9</f>
        <v>0</v>
      </c>
      <c r="HV9" s="83">
        <f>-'Вхідні дані'!$B$4/'Вхідні дані'!$B$42*'Фінансовий потік'!HV7*'Вхідні дані'!$B$9</f>
        <v>0</v>
      </c>
      <c r="HW9" s="83">
        <f>-'Вхідні дані'!$B$4/'Вхідні дані'!$B$42*'Фінансовий потік'!HW7*'Вхідні дані'!$B$9</f>
        <v>0</v>
      </c>
      <c r="HX9" s="83">
        <f>-'Вхідні дані'!$B$4/'Вхідні дані'!$B$42*'Фінансовий потік'!HX7*'Вхідні дані'!$B$9</f>
        <v>0</v>
      </c>
      <c r="HY9" s="83">
        <f>-'Вхідні дані'!$B$4/'Вхідні дані'!$B$42*'Фінансовий потік'!HY7*'Вхідні дані'!$B$9</f>
        <v>-42101.845493562229</v>
      </c>
      <c r="HZ9" s="83">
        <f>-'Вхідні дані'!$B$4/'Вхідні дані'!$B$42*'Фінансовий потік'!HZ7*'Вхідні дані'!$B$9</f>
        <v>-90218.240343347643</v>
      </c>
      <c r="IA9" s="83">
        <f>-'Вхідні дані'!$B$4/'Вхідні дані'!$B$42*'Фінансовий потік'!IA7*'Вхідні дані'!$B$9</f>
        <v>-93225.515021459229</v>
      </c>
      <c r="IB9" s="83">
        <f>-'Вхідні дані'!$B$4/'Вхідні дані'!$B$42*'Фінансовий потік'!IB7*'Вхідні дані'!$B$9</f>
        <v>-93225.515021459229</v>
      </c>
      <c r="IC9" s="83">
        <f>-'Вхідні дані'!$B$4/'Вхідні дані'!$B$42*'Фінансовий потік'!IC7*'Вхідні дані'!$B$9</f>
        <v>-87210.965665236057</v>
      </c>
      <c r="ID9" s="83">
        <f>-'Вхідні дані'!$B$4/'Вхідні дані'!$B$42*'Фінансовий потік'!ID7*'Вхідні дані'!$B$9</f>
        <v>-93225.515021459229</v>
      </c>
      <c r="IE9" s="83">
        <f>-'Вхідні дані'!$B$4/'Вхідні дані'!$B$42*'Фінансовий потік'!IE7*'Вхідні дані'!$B$9</f>
        <v>-39094.570815450643</v>
      </c>
      <c r="IF9" s="83">
        <f>-'Вхідні дані'!$B$4/'Вхідні дані'!$B$42*'Фінансовий потік'!IF7*'Вхідні дані'!$B$9</f>
        <v>0</v>
      </c>
      <c r="IG9" s="83">
        <f>-'Вхідні дані'!$B$4/'Вхідні дані'!$B$42*'Фінансовий потік'!IG7*'Вхідні дані'!$B$9</f>
        <v>0</v>
      </c>
    </row>
    <row r="10" spans="1:247" x14ac:dyDescent="0.25">
      <c r="A10" s="102" t="s">
        <v>330</v>
      </c>
      <c r="B10" s="84">
        <f t="shared" ref="B10:BM10" si="6">-B8+B9</f>
        <v>0</v>
      </c>
      <c r="C10" s="84">
        <f t="shared" si="6"/>
        <v>0</v>
      </c>
      <c r="D10" s="84">
        <f t="shared" si="6"/>
        <v>0</v>
      </c>
      <c r="E10" s="84">
        <f t="shared" si="6"/>
        <v>21966.180257510732</v>
      </c>
      <c r="F10" s="84">
        <f t="shared" si="6"/>
        <v>47070.386266094421</v>
      </c>
      <c r="G10" s="84">
        <f t="shared" si="6"/>
        <v>48639.399141630893</v>
      </c>
      <c r="H10" s="84">
        <f t="shared" si="6"/>
        <v>48639.399141630893</v>
      </c>
      <c r="I10" s="84">
        <f t="shared" si="6"/>
        <v>45501.373390557936</v>
      </c>
      <c r="J10" s="84">
        <f t="shared" si="6"/>
        <v>48639.399141630893</v>
      </c>
      <c r="K10" s="84">
        <f t="shared" si="6"/>
        <v>20397.16738197425</v>
      </c>
      <c r="L10" s="84">
        <f t="shared" si="6"/>
        <v>0</v>
      </c>
      <c r="M10" s="84">
        <f t="shared" si="6"/>
        <v>0</v>
      </c>
      <c r="N10" s="84">
        <f t="shared" si="6"/>
        <v>0</v>
      </c>
      <c r="O10" s="84">
        <f t="shared" si="6"/>
        <v>0</v>
      </c>
      <c r="P10" s="84">
        <f t="shared" si="6"/>
        <v>0</v>
      </c>
      <c r="Q10" s="84">
        <f t="shared" si="6"/>
        <v>32949.2703862661</v>
      </c>
      <c r="R10" s="84">
        <f t="shared" si="6"/>
        <v>70605.579399141629</v>
      </c>
      <c r="S10" s="84">
        <f t="shared" si="6"/>
        <v>72959.098712446343</v>
      </c>
      <c r="T10" s="84">
        <f t="shared" si="6"/>
        <v>72959.098712446343</v>
      </c>
      <c r="U10" s="84">
        <f t="shared" si="6"/>
        <v>65898.5407725322</v>
      </c>
      <c r="V10" s="84">
        <f t="shared" si="6"/>
        <v>72959.098712446343</v>
      </c>
      <c r="W10" s="84">
        <f t="shared" si="6"/>
        <v>32949.2703862661</v>
      </c>
      <c r="X10" s="84">
        <f t="shared" si="6"/>
        <v>0</v>
      </c>
      <c r="Y10" s="84">
        <f t="shared" si="6"/>
        <v>0</v>
      </c>
      <c r="Z10" s="84">
        <f t="shared" si="6"/>
        <v>0</v>
      </c>
      <c r="AA10" s="84">
        <f t="shared" si="6"/>
        <v>0</v>
      </c>
      <c r="AB10" s="84">
        <f t="shared" si="6"/>
        <v>0</v>
      </c>
      <c r="AC10" s="84">
        <f t="shared" si="6"/>
        <v>49423.905579399143</v>
      </c>
      <c r="AD10" s="84">
        <f t="shared" si="6"/>
        <v>105908.36909871244</v>
      </c>
      <c r="AE10" s="84">
        <f t="shared" si="6"/>
        <v>109438.64806866951</v>
      </c>
      <c r="AF10" s="84">
        <f t="shared" si="6"/>
        <v>109438.64806866951</v>
      </c>
      <c r="AG10" s="84">
        <f t="shared" si="6"/>
        <v>98847.811158798286</v>
      </c>
      <c r="AH10" s="84">
        <f t="shared" si="6"/>
        <v>109438.64806866951</v>
      </c>
      <c r="AI10" s="84">
        <f t="shared" si="6"/>
        <v>49423.905579399143</v>
      </c>
      <c r="AJ10" s="84">
        <f t="shared" si="6"/>
        <v>0</v>
      </c>
      <c r="AK10" s="84">
        <f t="shared" si="6"/>
        <v>0</v>
      </c>
      <c r="AL10" s="84">
        <f t="shared" si="6"/>
        <v>0</v>
      </c>
      <c r="AM10" s="84">
        <f t="shared" si="6"/>
        <v>0</v>
      </c>
      <c r="AN10" s="84">
        <f t="shared" si="6"/>
        <v>0</v>
      </c>
      <c r="AO10" s="84">
        <f t="shared" si="6"/>
        <v>49423.905579399143</v>
      </c>
      <c r="AP10" s="84">
        <f t="shared" si="6"/>
        <v>105908.36909871244</v>
      </c>
      <c r="AQ10" s="84">
        <f t="shared" si="6"/>
        <v>109438.64806866951</v>
      </c>
      <c r="AR10" s="84">
        <f t="shared" si="6"/>
        <v>109438.64806866951</v>
      </c>
      <c r="AS10" s="84">
        <f t="shared" si="6"/>
        <v>98847.811158798286</v>
      </c>
      <c r="AT10" s="84">
        <f t="shared" si="6"/>
        <v>109438.64806866951</v>
      </c>
      <c r="AU10" s="84">
        <f t="shared" si="6"/>
        <v>49423.905579399143</v>
      </c>
      <c r="AV10" s="84">
        <f t="shared" si="6"/>
        <v>0</v>
      </c>
      <c r="AW10" s="84">
        <f t="shared" si="6"/>
        <v>0</v>
      </c>
      <c r="AX10" s="84">
        <f t="shared" si="6"/>
        <v>0</v>
      </c>
      <c r="AY10" s="84">
        <f t="shared" si="6"/>
        <v>0</v>
      </c>
      <c r="AZ10" s="84">
        <f t="shared" si="6"/>
        <v>0</v>
      </c>
      <c r="BA10" s="84">
        <f t="shared" si="6"/>
        <v>49423.905579399143</v>
      </c>
      <c r="BB10" s="84">
        <f t="shared" si="6"/>
        <v>105908.36909871244</v>
      </c>
      <c r="BC10" s="84">
        <f t="shared" si="6"/>
        <v>109438.64806866951</v>
      </c>
      <c r="BD10" s="84">
        <f t="shared" si="6"/>
        <v>109438.64806866951</v>
      </c>
      <c r="BE10" s="84">
        <f t="shared" si="6"/>
        <v>102378.09012875534</v>
      </c>
      <c r="BF10" s="84">
        <f t="shared" si="6"/>
        <v>109438.64806866951</v>
      </c>
      <c r="BG10" s="84">
        <f t="shared" si="6"/>
        <v>45893.626609442057</v>
      </c>
      <c r="BH10" s="84">
        <f t="shared" si="6"/>
        <v>0</v>
      </c>
      <c r="BI10" s="84">
        <f t="shared" si="6"/>
        <v>0</v>
      </c>
      <c r="BJ10" s="84">
        <f t="shared" si="6"/>
        <v>0</v>
      </c>
      <c r="BK10" s="84">
        <f t="shared" si="6"/>
        <v>0</v>
      </c>
      <c r="BL10" s="84">
        <f t="shared" si="6"/>
        <v>0</v>
      </c>
      <c r="BM10" s="84">
        <f t="shared" si="6"/>
        <v>49423.905579399143</v>
      </c>
      <c r="BN10" s="84">
        <f t="shared" ref="BN10:DY10" si="7">-BN8+BN9</f>
        <v>105908.36909871244</v>
      </c>
      <c r="BO10" s="84">
        <f t="shared" si="7"/>
        <v>109438.64806866951</v>
      </c>
      <c r="BP10" s="84">
        <f t="shared" si="7"/>
        <v>109438.64806866951</v>
      </c>
      <c r="BQ10" s="84">
        <f t="shared" si="7"/>
        <v>102378.09012875534</v>
      </c>
      <c r="BR10" s="84">
        <f t="shared" si="7"/>
        <v>109438.64806866951</v>
      </c>
      <c r="BS10" s="84">
        <f t="shared" si="7"/>
        <v>45893.626609442057</v>
      </c>
      <c r="BT10" s="84">
        <f t="shared" si="7"/>
        <v>0</v>
      </c>
      <c r="BU10" s="84">
        <f t="shared" si="7"/>
        <v>0</v>
      </c>
      <c r="BV10" s="84">
        <f t="shared" si="7"/>
        <v>0</v>
      </c>
      <c r="BW10" s="84">
        <f t="shared" si="7"/>
        <v>0</v>
      </c>
      <c r="BX10" s="84">
        <f t="shared" si="7"/>
        <v>0</v>
      </c>
      <c r="BY10" s="84">
        <f t="shared" si="7"/>
        <v>49423.905579399143</v>
      </c>
      <c r="BZ10" s="84">
        <f t="shared" si="7"/>
        <v>105908.36909871244</v>
      </c>
      <c r="CA10" s="84">
        <f t="shared" si="7"/>
        <v>109438.64806866951</v>
      </c>
      <c r="CB10" s="84">
        <f t="shared" si="7"/>
        <v>109438.64806866951</v>
      </c>
      <c r="CC10" s="84">
        <f t="shared" si="7"/>
        <v>102378.09012875534</v>
      </c>
      <c r="CD10" s="84">
        <f t="shared" si="7"/>
        <v>109438.64806866951</v>
      </c>
      <c r="CE10" s="84">
        <f t="shared" si="7"/>
        <v>45893.626609442057</v>
      </c>
      <c r="CF10" s="84">
        <f t="shared" si="7"/>
        <v>0</v>
      </c>
      <c r="CG10" s="84">
        <f t="shared" si="7"/>
        <v>0</v>
      </c>
      <c r="CH10" s="84">
        <f t="shared" si="7"/>
        <v>0</v>
      </c>
      <c r="CI10" s="84">
        <f t="shared" si="7"/>
        <v>0</v>
      </c>
      <c r="CJ10" s="84">
        <f t="shared" si="7"/>
        <v>0</v>
      </c>
      <c r="CK10" s="84">
        <f t="shared" si="7"/>
        <v>49423.905579399143</v>
      </c>
      <c r="CL10" s="84">
        <f t="shared" si="7"/>
        <v>105908.36909871244</v>
      </c>
      <c r="CM10" s="84">
        <f t="shared" si="7"/>
        <v>109438.64806866951</v>
      </c>
      <c r="CN10" s="84">
        <f t="shared" si="7"/>
        <v>109438.64806866951</v>
      </c>
      <c r="CO10" s="84">
        <f t="shared" si="7"/>
        <v>102378.09012875534</v>
      </c>
      <c r="CP10" s="84">
        <f t="shared" si="7"/>
        <v>109438.64806866951</v>
      </c>
      <c r="CQ10" s="84">
        <f t="shared" si="7"/>
        <v>45893.626609442057</v>
      </c>
      <c r="CR10" s="84">
        <f t="shared" si="7"/>
        <v>0</v>
      </c>
      <c r="CS10" s="84">
        <f t="shared" si="7"/>
        <v>0</v>
      </c>
      <c r="CT10" s="84">
        <f t="shared" si="7"/>
        <v>0</v>
      </c>
      <c r="CU10" s="84">
        <f t="shared" si="7"/>
        <v>0</v>
      </c>
      <c r="CV10" s="84">
        <f t="shared" si="7"/>
        <v>0</v>
      </c>
      <c r="CW10" s="84">
        <f t="shared" si="7"/>
        <v>49423.905579399143</v>
      </c>
      <c r="CX10" s="84">
        <f t="shared" si="7"/>
        <v>105908.36909871244</v>
      </c>
      <c r="CY10" s="84">
        <f t="shared" si="7"/>
        <v>109438.64806866951</v>
      </c>
      <c r="CZ10" s="84">
        <f t="shared" si="7"/>
        <v>109438.64806866951</v>
      </c>
      <c r="DA10" s="84">
        <f t="shared" si="7"/>
        <v>102378.09012875534</v>
      </c>
      <c r="DB10" s="84">
        <f t="shared" si="7"/>
        <v>109438.64806866951</v>
      </c>
      <c r="DC10" s="84">
        <f t="shared" si="7"/>
        <v>45893.626609442057</v>
      </c>
      <c r="DD10" s="84">
        <f t="shared" si="7"/>
        <v>0</v>
      </c>
      <c r="DE10" s="84">
        <f t="shared" si="7"/>
        <v>0</v>
      </c>
      <c r="DF10" s="84">
        <f t="shared" si="7"/>
        <v>0</v>
      </c>
      <c r="DG10" s="84">
        <f t="shared" si="7"/>
        <v>0</v>
      </c>
      <c r="DH10" s="84">
        <f t="shared" si="7"/>
        <v>0</v>
      </c>
      <c r="DI10" s="84">
        <f t="shared" si="7"/>
        <v>49423.905579399143</v>
      </c>
      <c r="DJ10" s="84">
        <f t="shared" si="7"/>
        <v>105908.36909871244</v>
      </c>
      <c r="DK10" s="84">
        <f t="shared" si="7"/>
        <v>109438.64806866951</v>
      </c>
      <c r="DL10" s="84">
        <f t="shared" si="7"/>
        <v>109438.64806866951</v>
      </c>
      <c r="DM10" s="84">
        <f t="shared" si="7"/>
        <v>102378.09012875534</v>
      </c>
      <c r="DN10" s="84">
        <f t="shared" si="7"/>
        <v>109438.64806866951</v>
      </c>
      <c r="DO10" s="84">
        <f t="shared" si="7"/>
        <v>45893.626609442057</v>
      </c>
      <c r="DP10" s="84">
        <f t="shared" si="7"/>
        <v>0</v>
      </c>
      <c r="DQ10" s="84">
        <f t="shared" si="7"/>
        <v>0</v>
      </c>
      <c r="DR10" s="84">
        <f t="shared" si="7"/>
        <v>0</v>
      </c>
      <c r="DS10" s="84">
        <f t="shared" si="7"/>
        <v>0</v>
      </c>
      <c r="DT10" s="84">
        <f t="shared" si="7"/>
        <v>0</v>
      </c>
      <c r="DU10" s="84">
        <f t="shared" si="7"/>
        <v>49423.905579399143</v>
      </c>
      <c r="DV10" s="84">
        <f t="shared" si="7"/>
        <v>105908.36909871244</v>
      </c>
      <c r="DW10" s="84">
        <f t="shared" si="7"/>
        <v>109438.64806866951</v>
      </c>
      <c r="DX10" s="84">
        <f t="shared" si="7"/>
        <v>109438.64806866951</v>
      </c>
      <c r="DY10" s="84">
        <f t="shared" si="7"/>
        <v>102378.09012875534</v>
      </c>
      <c r="DZ10" s="84">
        <f t="shared" ref="DZ10:GK10" si="8">-DZ8+DZ9</f>
        <v>109438.64806866951</v>
      </c>
      <c r="EA10" s="84">
        <f t="shared" si="8"/>
        <v>45893.626609442057</v>
      </c>
      <c r="EB10" s="84">
        <f t="shared" si="8"/>
        <v>0</v>
      </c>
      <c r="EC10" s="84">
        <f t="shared" si="8"/>
        <v>0</v>
      </c>
      <c r="ED10" s="84">
        <f t="shared" si="8"/>
        <v>0</v>
      </c>
      <c r="EE10" s="84">
        <f t="shared" si="8"/>
        <v>0</v>
      </c>
      <c r="EF10" s="84">
        <f t="shared" si="8"/>
        <v>0</v>
      </c>
      <c r="EG10" s="84">
        <f t="shared" si="8"/>
        <v>49423.905579399143</v>
      </c>
      <c r="EH10" s="84">
        <f t="shared" si="8"/>
        <v>105908.36909871244</v>
      </c>
      <c r="EI10" s="84">
        <f t="shared" si="8"/>
        <v>109438.64806866951</v>
      </c>
      <c r="EJ10" s="84">
        <f t="shared" si="8"/>
        <v>109438.64806866951</v>
      </c>
      <c r="EK10" s="84">
        <f t="shared" si="8"/>
        <v>102378.09012875534</v>
      </c>
      <c r="EL10" s="84">
        <f t="shared" si="8"/>
        <v>109438.64806866951</v>
      </c>
      <c r="EM10" s="84">
        <f t="shared" si="8"/>
        <v>45893.626609442057</v>
      </c>
      <c r="EN10" s="84">
        <f t="shared" si="8"/>
        <v>0</v>
      </c>
      <c r="EO10" s="84">
        <f t="shared" si="8"/>
        <v>0</v>
      </c>
      <c r="EP10" s="84">
        <f t="shared" si="8"/>
        <v>0</v>
      </c>
      <c r="EQ10" s="84">
        <f t="shared" si="8"/>
        <v>0</v>
      </c>
      <c r="ER10" s="84">
        <f t="shared" si="8"/>
        <v>0</v>
      </c>
      <c r="ES10" s="84">
        <f t="shared" si="8"/>
        <v>49423.905579399143</v>
      </c>
      <c r="ET10" s="84">
        <f t="shared" si="8"/>
        <v>105908.36909871244</v>
      </c>
      <c r="EU10" s="84">
        <f t="shared" si="8"/>
        <v>109438.64806866951</v>
      </c>
      <c r="EV10" s="84">
        <f t="shared" si="8"/>
        <v>109438.64806866951</v>
      </c>
      <c r="EW10" s="84">
        <f t="shared" si="8"/>
        <v>102378.09012875534</v>
      </c>
      <c r="EX10" s="84">
        <f t="shared" si="8"/>
        <v>109438.64806866951</v>
      </c>
      <c r="EY10" s="84">
        <f t="shared" si="8"/>
        <v>45893.626609442057</v>
      </c>
      <c r="EZ10" s="84">
        <f t="shared" si="8"/>
        <v>0</v>
      </c>
      <c r="FA10" s="84">
        <f t="shared" si="8"/>
        <v>0</v>
      </c>
      <c r="FB10" s="84">
        <f t="shared" si="8"/>
        <v>0</v>
      </c>
      <c r="FC10" s="84">
        <f t="shared" si="8"/>
        <v>0</v>
      </c>
      <c r="FD10" s="84">
        <f t="shared" si="8"/>
        <v>0</v>
      </c>
      <c r="FE10" s="84">
        <f t="shared" si="8"/>
        <v>49423.905579399143</v>
      </c>
      <c r="FF10" s="84">
        <f t="shared" si="8"/>
        <v>105908.36909871244</v>
      </c>
      <c r="FG10" s="84">
        <f t="shared" si="8"/>
        <v>109438.64806866951</v>
      </c>
      <c r="FH10" s="84">
        <f t="shared" si="8"/>
        <v>109438.64806866951</v>
      </c>
      <c r="FI10" s="84">
        <f t="shared" si="8"/>
        <v>102378.09012875534</v>
      </c>
      <c r="FJ10" s="84">
        <f t="shared" si="8"/>
        <v>109438.64806866951</v>
      </c>
      <c r="FK10" s="84">
        <f t="shared" si="8"/>
        <v>45893.626609442057</v>
      </c>
      <c r="FL10" s="84">
        <f t="shared" si="8"/>
        <v>0</v>
      </c>
      <c r="FM10" s="84">
        <f t="shared" si="8"/>
        <v>0</v>
      </c>
      <c r="FN10" s="84">
        <f t="shared" si="8"/>
        <v>0</v>
      </c>
      <c r="FO10" s="84">
        <f t="shared" si="8"/>
        <v>0</v>
      </c>
      <c r="FP10" s="84">
        <f t="shared" si="8"/>
        <v>0</v>
      </c>
      <c r="FQ10" s="84">
        <f t="shared" si="8"/>
        <v>49423.905579399143</v>
      </c>
      <c r="FR10" s="84">
        <f t="shared" si="8"/>
        <v>105908.36909871244</v>
      </c>
      <c r="FS10" s="84">
        <f t="shared" si="8"/>
        <v>109438.64806866951</v>
      </c>
      <c r="FT10" s="84">
        <f t="shared" si="8"/>
        <v>109438.64806866951</v>
      </c>
      <c r="FU10" s="84">
        <f t="shared" si="8"/>
        <v>102378.09012875534</v>
      </c>
      <c r="FV10" s="84">
        <f t="shared" si="8"/>
        <v>109438.64806866951</v>
      </c>
      <c r="FW10" s="84">
        <f t="shared" si="8"/>
        <v>45893.626609442057</v>
      </c>
      <c r="FX10" s="84">
        <f t="shared" si="8"/>
        <v>0</v>
      </c>
      <c r="FY10" s="84">
        <f t="shared" si="8"/>
        <v>0</v>
      </c>
      <c r="FZ10" s="84">
        <f t="shared" si="8"/>
        <v>0</v>
      </c>
      <c r="GA10" s="84">
        <f t="shared" si="8"/>
        <v>0</v>
      </c>
      <c r="GB10" s="84">
        <f t="shared" si="8"/>
        <v>0</v>
      </c>
      <c r="GC10" s="84">
        <f t="shared" si="8"/>
        <v>49423.905579399143</v>
      </c>
      <c r="GD10" s="84">
        <f t="shared" si="8"/>
        <v>105908.36909871244</v>
      </c>
      <c r="GE10" s="84">
        <f t="shared" si="8"/>
        <v>109438.64806866951</v>
      </c>
      <c r="GF10" s="84">
        <f t="shared" si="8"/>
        <v>109438.64806866951</v>
      </c>
      <c r="GG10" s="84">
        <f t="shared" si="8"/>
        <v>102378.09012875534</v>
      </c>
      <c r="GH10" s="84">
        <f t="shared" si="8"/>
        <v>109438.64806866951</v>
      </c>
      <c r="GI10" s="84">
        <f t="shared" si="8"/>
        <v>45893.626609442057</v>
      </c>
      <c r="GJ10" s="84">
        <f t="shared" si="8"/>
        <v>0</v>
      </c>
      <c r="GK10" s="84">
        <f t="shared" si="8"/>
        <v>0</v>
      </c>
      <c r="GL10" s="84">
        <f t="shared" ref="GL10:IG10" si="9">-GL8+GL9</f>
        <v>0</v>
      </c>
      <c r="GM10" s="84">
        <f t="shared" si="9"/>
        <v>0</v>
      </c>
      <c r="GN10" s="84">
        <f t="shared" si="9"/>
        <v>0</v>
      </c>
      <c r="GO10" s="84">
        <f t="shared" si="9"/>
        <v>49423.905579399143</v>
      </c>
      <c r="GP10" s="84">
        <f t="shared" si="9"/>
        <v>105908.36909871244</v>
      </c>
      <c r="GQ10" s="84">
        <f t="shared" si="9"/>
        <v>109438.64806866951</v>
      </c>
      <c r="GR10" s="84">
        <f t="shared" si="9"/>
        <v>109438.64806866951</v>
      </c>
      <c r="GS10" s="84">
        <f t="shared" si="9"/>
        <v>102378.09012875534</v>
      </c>
      <c r="GT10" s="84">
        <f t="shared" si="9"/>
        <v>109438.64806866951</v>
      </c>
      <c r="GU10" s="84">
        <f t="shared" si="9"/>
        <v>45893.626609442057</v>
      </c>
      <c r="GV10" s="84">
        <f t="shared" si="9"/>
        <v>0</v>
      </c>
      <c r="GW10" s="84">
        <f t="shared" si="9"/>
        <v>0</v>
      </c>
      <c r="GX10" s="84">
        <f t="shared" si="9"/>
        <v>0</v>
      </c>
      <c r="GY10" s="84">
        <f t="shared" si="9"/>
        <v>0</v>
      </c>
      <c r="GZ10" s="84">
        <f t="shared" si="9"/>
        <v>0</v>
      </c>
      <c r="HA10" s="84">
        <f t="shared" si="9"/>
        <v>49423.905579399143</v>
      </c>
      <c r="HB10" s="84">
        <f t="shared" si="9"/>
        <v>105908.36909871244</v>
      </c>
      <c r="HC10" s="84">
        <f t="shared" si="9"/>
        <v>109438.64806866951</v>
      </c>
      <c r="HD10" s="84">
        <f t="shared" si="9"/>
        <v>109438.64806866951</v>
      </c>
      <c r="HE10" s="84">
        <f t="shared" si="9"/>
        <v>102378.09012875534</v>
      </c>
      <c r="HF10" s="84">
        <f t="shared" si="9"/>
        <v>109438.64806866951</v>
      </c>
      <c r="HG10" s="84">
        <f t="shared" si="9"/>
        <v>45893.626609442057</v>
      </c>
      <c r="HH10" s="84">
        <f t="shared" si="9"/>
        <v>0</v>
      </c>
      <c r="HI10" s="84">
        <f t="shared" si="9"/>
        <v>0</v>
      </c>
      <c r="HJ10" s="84">
        <f t="shared" si="9"/>
        <v>0</v>
      </c>
      <c r="HK10" s="84">
        <f t="shared" si="9"/>
        <v>0</v>
      </c>
      <c r="HL10" s="84">
        <f t="shared" si="9"/>
        <v>0</v>
      </c>
      <c r="HM10" s="84">
        <f t="shared" si="9"/>
        <v>49423.905579399143</v>
      </c>
      <c r="HN10" s="84">
        <f t="shared" si="9"/>
        <v>105908.36909871244</v>
      </c>
      <c r="HO10" s="84">
        <f t="shared" si="9"/>
        <v>109438.64806866951</v>
      </c>
      <c r="HP10" s="84">
        <f t="shared" si="9"/>
        <v>109438.64806866951</v>
      </c>
      <c r="HQ10" s="84">
        <f t="shared" si="9"/>
        <v>102378.09012875534</v>
      </c>
      <c r="HR10" s="84">
        <f t="shared" si="9"/>
        <v>109438.64806866951</v>
      </c>
      <c r="HS10" s="84">
        <f t="shared" si="9"/>
        <v>45893.626609442057</v>
      </c>
      <c r="HT10" s="84">
        <f t="shared" si="9"/>
        <v>0</v>
      </c>
      <c r="HU10" s="84">
        <f t="shared" si="9"/>
        <v>0</v>
      </c>
      <c r="HV10" s="84">
        <f t="shared" si="9"/>
        <v>0</v>
      </c>
      <c r="HW10" s="84">
        <f t="shared" si="9"/>
        <v>0</v>
      </c>
      <c r="HX10" s="84">
        <f t="shared" si="9"/>
        <v>0</v>
      </c>
      <c r="HY10" s="84">
        <f t="shared" si="9"/>
        <v>49423.905579399143</v>
      </c>
      <c r="HZ10" s="84">
        <f t="shared" si="9"/>
        <v>105908.36909871244</v>
      </c>
      <c r="IA10" s="84">
        <f t="shared" si="9"/>
        <v>109438.64806866951</v>
      </c>
      <c r="IB10" s="84">
        <f t="shared" si="9"/>
        <v>109438.64806866951</v>
      </c>
      <c r="IC10" s="84">
        <f t="shared" si="9"/>
        <v>102378.09012875534</v>
      </c>
      <c r="ID10" s="84">
        <f t="shared" si="9"/>
        <v>109438.64806866951</v>
      </c>
      <c r="IE10" s="84">
        <f t="shared" si="9"/>
        <v>45893.626609442057</v>
      </c>
      <c r="IF10" s="84">
        <f t="shared" si="9"/>
        <v>0</v>
      </c>
      <c r="IG10" s="84">
        <f t="shared" si="9"/>
        <v>0</v>
      </c>
    </row>
    <row r="11" spans="1:247" x14ac:dyDescent="0.25">
      <c r="A11" s="102" t="s">
        <v>610</v>
      </c>
      <c r="B11" s="84"/>
      <c r="C11" s="84">
        <f>(ОСББ!$D$31-ОСББ!$D$36)*ОСББ!$E$24/12*'Вхідні дані'!$B$10</f>
        <v>1074.2148559999996</v>
      </c>
      <c r="D11" s="84">
        <f>(ОСББ!$D$31-ОСББ!$D$36)*ОСББ!$E$24/12*'Вхідні дані'!$B$10</f>
        <v>1074.2148559999996</v>
      </c>
      <c r="E11" s="84">
        <f>(ОСББ!$D$31-ОСББ!$D$36)*ОСББ!$E$24/12*'Вхідні дані'!$B$10</f>
        <v>1074.2148559999996</v>
      </c>
      <c r="F11" s="84">
        <f>(ОСББ!$D$31-ОСББ!$D$36)*ОСББ!$E$24/12*'Вхідні дані'!$B$10</f>
        <v>1074.2148559999996</v>
      </c>
      <c r="G11" s="84">
        <f>(ОСББ!$D$31-ОСББ!$D$36)*ОСББ!$E$24/12*'Вхідні дані'!$B$10</f>
        <v>1074.2148559999996</v>
      </c>
      <c r="H11" s="84">
        <f>(ОСББ!$D$31-ОСББ!$D$36)*ОСББ!$E$24/12*'Вхідні дані'!$B$11</f>
        <v>1611.3222839999994</v>
      </c>
      <c r="I11" s="84">
        <f>(ОСББ!$D$31-ОСББ!$D$36)*ОСББ!$E$24/12*'Вхідні дані'!$B$11</f>
        <v>1611.3222839999994</v>
      </c>
      <c r="J11" s="84">
        <f>(ОСББ!$D$31-ОСББ!$D$36)*ОСББ!$E$24/12*'Вхідні дані'!$B$11</f>
        <v>1611.3222839999994</v>
      </c>
      <c r="K11" s="84">
        <f>(ОСББ!$D$31-ОСББ!$D$36)*ОСББ!$E$24/12*'Вхідні дані'!$B$11</f>
        <v>1611.3222839999994</v>
      </c>
      <c r="L11" s="84">
        <f>(ОСББ!$D$31-ОСББ!$D$36)*ОСББ!$E$24/12*'Вхідні дані'!$B$11</f>
        <v>1611.3222839999994</v>
      </c>
      <c r="M11" s="84">
        <f>(ОСББ!$D$31-ОСББ!$D$36)*ОСББ!$E$24/12*'Вхідні дані'!$B$11</f>
        <v>1611.3222839999994</v>
      </c>
      <c r="N11" s="84">
        <f>(ОСББ!$D$31-ОСББ!$D$36)*ОСББ!$E$24/12*'Вхідні дані'!$B$11</f>
        <v>1611.3222839999994</v>
      </c>
      <c r="O11" s="84">
        <f>(ОСББ!$D$31-ОСББ!$D$36)*ОСББ!$E$24/12*'Вхідні дані'!$B$11</f>
        <v>1611.3222839999994</v>
      </c>
      <c r="P11" s="84">
        <f>(ОСББ!$D$31-ОСББ!$D$36)*ОСББ!$E$24/12*'Вхідні дані'!$B$11</f>
        <v>1611.3222839999994</v>
      </c>
      <c r="Q11" s="84">
        <f>(ОСББ!$D$31-ОСББ!$D$36)*ОСББ!$E$24/12*'Вхідні дані'!$B$11</f>
        <v>1611.3222839999994</v>
      </c>
      <c r="R11" s="84">
        <f>(ОСББ!$D$31-ОСББ!$D$36)*ОСББ!$E$24/12*'Вхідні дані'!$B$11</f>
        <v>1611.3222839999994</v>
      </c>
      <c r="S11" s="84">
        <f>(ОСББ!$D$31-ОСББ!$D$36)*ОСББ!$E$24/12*'Вхідні дані'!$B$11</f>
        <v>1611.3222839999994</v>
      </c>
      <c r="T11" s="84">
        <f>(ОСББ!$D$31-ОСББ!$D$36)*ОСББ!$E$24/12*'Вхідні дані'!$B$12</f>
        <v>2416.9834259999993</v>
      </c>
      <c r="U11" s="84">
        <f>(ОСББ!$D$31-ОСББ!$D$36)*ОСББ!$E$24/12*'Вхідні дані'!$B$12</f>
        <v>2416.9834259999993</v>
      </c>
      <c r="V11" s="84">
        <f>(ОСББ!$D$31-ОСББ!$D$36)*ОСББ!$E$24/12*'Вхідні дані'!$B$12</f>
        <v>2416.9834259999993</v>
      </c>
      <c r="W11" s="84">
        <f>(ОСББ!$D$31-ОСББ!$D$36)*ОСББ!$E$24/12*'Вхідні дані'!$B$12</f>
        <v>2416.9834259999993</v>
      </c>
      <c r="X11" s="84">
        <f>(ОСББ!$D$31-ОСББ!$D$36)*ОСББ!$E$24/12*'Вхідні дані'!$B$12</f>
        <v>2416.9834259999993</v>
      </c>
      <c r="Y11" s="84">
        <f>(ОСББ!$D$31-ОСББ!$D$36)*ОСББ!$E$24/12*'Вхідні дані'!$B$12</f>
        <v>2416.9834259999993</v>
      </c>
      <c r="Z11" s="84">
        <f>(ОСББ!$D$31-ОСББ!$D$36)*ОСББ!$E$24/12*'Вхідні дані'!$B$12</f>
        <v>2416.9834259999993</v>
      </c>
      <c r="AA11" s="84">
        <f>(ОСББ!$D$31-ОСББ!$D$36)*ОСББ!$E$24/12*'Вхідні дані'!$B$12</f>
        <v>2416.9834259999993</v>
      </c>
      <c r="AB11" s="84">
        <f>(ОСББ!$D$31-ОСББ!$D$36)*ОСББ!$E$24/12*'Вхідні дані'!$B$12</f>
        <v>2416.9834259999993</v>
      </c>
      <c r="AC11" s="84">
        <f>(ОСББ!$D$31-ОСББ!$D$36)*ОСББ!$E$24/12*'Вхідні дані'!$B$12</f>
        <v>2416.9834259999993</v>
      </c>
      <c r="AD11" s="84">
        <f>(ОСББ!$D$31-ОСББ!$D$36)*ОСББ!$E$24/12*'Вхідні дані'!$B$12</f>
        <v>2416.9834259999993</v>
      </c>
      <c r="AE11" s="84">
        <f>(ОСББ!$D$31-ОСББ!$D$36)*ОСББ!$E$24/12*'Вхідні дані'!$B$12</f>
        <v>2416.9834259999993</v>
      </c>
      <c r="AF11" s="84">
        <f>(ОСББ!$D$31-ОСББ!$D$36)*ОСББ!$E$24/12*'Вхідні дані'!$B$12</f>
        <v>2416.9834259999993</v>
      </c>
      <c r="AG11" s="84">
        <f>(ОСББ!$D$31-ОСББ!$D$36)*ОСББ!$E$24/12*'Вхідні дані'!$B$12</f>
        <v>2416.9834259999993</v>
      </c>
      <c r="AH11" s="84">
        <f>(ОСББ!$D$31-ОСББ!$D$36)*ОСББ!$E$24/12*'Вхідні дані'!$B$12</f>
        <v>2416.9834259999993</v>
      </c>
      <c r="AI11" s="84">
        <f>(ОСББ!$D$31-ОСББ!$D$36)*ОСББ!$E$24/12*'Вхідні дані'!$B$12</f>
        <v>2416.9834259999993</v>
      </c>
      <c r="AJ11" s="84">
        <f>(ОСББ!$D$31-ОСББ!$D$36)*ОСББ!$E$24/12*'Вхідні дані'!$B$12</f>
        <v>2416.9834259999993</v>
      </c>
      <c r="AK11" s="84">
        <f>(ОСББ!$D$31-ОСББ!$D$36)*ОСББ!$E$24/12*'Вхідні дані'!$B$12</f>
        <v>2416.9834259999993</v>
      </c>
      <c r="AL11" s="84">
        <f>(ОСББ!$D$31-ОСББ!$D$36)*ОСББ!$E$24/12*'Вхідні дані'!$B$12</f>
        <v>2416.9834259999993</v>
      </c>
      <c r="AM11" s="84">
        <f>(ОСББ!$D$31-ОСББ!$D$36)*ОСББ!$E$24/12*'Вхідні дані'!$B$12</f>
        <v>2416.9834259999993</v>
      </c>
      <c r="AN11" s="84">
        <f>(ОСББ!$D$31-ОСББ!$D$36)*ОСББ!$E$24/12*'Вхідні дані'!$B$12</f>
        <v>2416.9834259999993</v>
      </c>
      <c r="AO11" s="84">
        <f>(ОСББ!$D$31-ОСББ!$D$36)*ОСББ!$E$24/12*'Вхідні дані'!$B$12</f>
        <v>2416.9834259999993</v>
      </c>
      <c r="AP11" s="84">
        <f>(ОСББ!$D$31-ОСББ!$D$36)*ОСББ!$E$24/12*'Вхідні дані'!$B$12</f>
        <v>2416.9834259999993</v>
      </c>
      <c r="AQ11" s="84">
        <f>(ОСББ!$D$31-ОСББ!$D$36)*ОСББ!$E$24/12*'Вхідні дані'!$B$12</f>
        <v>2416.9834259999993</v>
      </c>
      <c r="AR11" s="84">
        <f>(ОСББ!$D$31-ОСББ!$D$36)*ОСББ!$E$24/12*'Вхідні дані'!$B$12</f>
        <v>2416.9834259999993</v>
      </c>
      <c r="AS11" s="84">
        <f>(ОСББ!$D$31-ОСББ!$D$36)*ОСББ!$E$24/12*'Вхідні дані'!$B$12</f>
        <v>2416.9834259999993</v>
      </c>
      <c r="AT11" s="84">
        <f>(ОСББ!$D$31-ОСББ!$D$36)*ОСББ!$E$24/12*'Вхідні дані'!$B$12</f>
        <v>2416.9834259999993</v>
      </c>
      <c r="AU11" s="84">
        <f>(ОСББ!$D$31-ОСББ!$D$36)*ОСББ!$E$24/12*'Вхідні дані'!$B$12</f>
        <v>2416.9834259999993</v>
      </c>
      <c r="AV11" s="84">
        <f>(ОСББ!$D$31-ОСББ!$D$36)*ОСББ!$E$24/12*'Вхідні дані'!$B$12</f>
        <v>2416.9834259999993</v>
      </c>
      <c r="AW11" s="84">
        <f>(ОСББ!$D$31-ОСББ!$D$36)*ОСББ!$E$24/12*'Вхідні дані'!$B$12</f>
        <v>2416.9834259999993</v>
      </c>
      <c r="AX11" s="84">
        <f>(ОСББ!$D$31-ОСББ!$D$36)*ОСББ!$E$24/12*'Вхідні дані'!$B$12</f>
        <v>2416.9834259999993</v>
      </c>
      <c r="AY11" s="84">
        <f>(ОСББ!$D$31-ОСББ!$D$36)*ОСББ!$E$24/12*'Вхідні дані'!$B$12</f>
        <v>2416.9834259999993</v>
      </c>
      <c r="AZ11" s="84">
        <f>(ОСББ!$D$31-ОСББ!$D$36)*ОСББ!$E$24/12*'Вхідні дані'!$B$12</f>
        <v>2416.9834259999993</v>
      </c>
      <c r="BA11" s="84">
        <f>(ОСББ!$D$31-ОСББ!$D$36)*ОСББ!$E$24/12*'Вхідні дані'!$B$12</f>
        <v>2416.9834259999993</v>
      </c>
      <c r="BB11" s="84">
        <f>(ОСББ!$D$31-ОСББ!$D$36)*ОСББ!$E$24/12*'Вхідні дані'!$B$12</f>
        <v>2416.9834259999993</v>
      </c>
      <c r="BC11" s="84">
        <f>(ОСББ!$D$31-ОСББ!$D$36)*ОСББ!$E$24/12*'Вхідні дані'!$B$12</f>
        <v>2416.9834259999993</v>
      </c>
      <c r="BD11" s="84">
        <f>(ОСББ!$D$31-ОСББ!$D$36)*ОСББ!$E$24/12*'Вхідні дані'!$B$12</f>
        <v>2416.9834259999993</v>
      </c>
      <c r="BE11" s="84">
        <f>(ОСББ!$D$31-ОСББ!$D$36)*ОСББ!$E$24/12*'Вхідні дані'!$B$12</f>
        <v>2416.9834259999993</v>
      </c>
      <c r="BF11" s="84">
        <f>(ОСББ!$D$31-ОСББ!$D$36)*ОСББ!$E$24/12*'Вхідні дані'!$B$12</f>
        <v>2416.9834259999993</v>
      </c>
      <c r="BG11" s="84">
        <f>(ОСББ!$D$31-ОСББ!$D$36)*ОСББ!$E$24/12*'Вхідні дані'!$B$12</f>
        <v>2416.9834259999993</v>
      </c>
      <c r="BH11" s="84">
        <f>(ОСББ!$D$31-ОСББ!$D$36)*ОСББ!$E$24/12*'Вхідні дані'!$B$12</f>
        <v>2416.9834259999993</v>
      </c>
      <c r="BI11" s="84">
        <f>(ОСББ!$D$31-ОСББ!$D$36)*ОСББ!$E$24/12*'Вхідні дані'!$B$12</f>
        <v>2416.9834259999993</v>
      </c>
      <c r="BJ11" s="84">
        <f>(ОСББ!$D$31-ОСББ!$D$36)*ОСББ!$E$24/12*'Вхідні дані'!$B$12</f>
        <v>2416.9834259999993</v>
      </c>
      <c r="BK11" s="84">
        <f>(ОСББ!$D$31-ОСББ!$D$36)*ОСББ!$E$24/12*'Вхідні дані'!$B$12</f>
        <v>2416.9834259999993</v>
      </c>
      <c r="BL11" s="84">
        <f>(ОСББ!$D$31-ОСББ!$D$36)*ОСББ!$E$24/12*'Вхідні дані'!$B$12</f>
        <v>2416.9834259999993</v>
      </c>
      <c r="BM11" s="84">
        <f>(ОСББ!$D$31-ОСББ!$D$36)*ОСББ!$E$24/12*'Вхідні дані'!$B$12</f>
        <v>2416.9834259999993</v>
      </c>
      <c r="BN11" s="84">
        <f>(ОСББ!$D$31-ОСББ!$D$36)*ОСББ!$E$24/12*'Вхідні дані'!$B$12</f>
        <v>2416.9834259999993</v>
      </c>
      <c r="BO11" s="84">
        <f>(ОСББ!$D$31-ОСББ!$D$36)*ОСББ!$E$24/12*'Вхідні дані'!$B$12</f>
        <v>2416.9834259999993</v>
      </c>
      <c r="BP11" s="84">
        <f>(ОСББ!$D$31-ОСББ!$D$36)*ОСББ!$E$24/12*'Вхідні дані'!$B$12</f>
        <v>2416.9834259999993</v>
      </c>
      <c r="BQ11" s="84">
        <f>(ОСББ!$D$31-ОСББ!$D$36)*ОСББ!$E$24/12*'Вхідні дані'!$B$12</f>
        <v>2416.9834259999993</v>
      </c>
      <c r="BR11" s="84">
        <f>(ОСББ!$D$31-ОСББ!$D$36)*ОСББ!$E$24/12*'Вхідні дані'!$B$12</f>
        <v>2416.9834259999993</v>
      </c>
      <c r="BS11" s="84">
        <f>(ОСББ!$D$31-ОСББ!$D$36)*ОСББ!$E$24/12*'Вхідні дані'!$B$12</f>
        <v>2416.9834259999993</v>
      </c>
      <c r="BT11" s="84">
        <f>(ОСББ!$D$31-ОСББ!$D$36)*ОСББ!$E$24/12*'Вхідні дані'!$B$12</f>
        <v>2416.9834259999993</v>
      </c>
      <c r="BU11" s="84">
        <f>(ОСББ!$D$31-ОСББ!$D$36)*ОСББ!$E$24/12*'Вхідні дані'!$B$12</f>
        <v>2416.9834259999993</v>
      </c>
      <c r="BV11" s="84">
        <f>(ОСББ!$D$31-ОСББ!$D$36)*ОСББ!$E$24/12*'Вхідні дані'!$B$12</f>
        <v>2416.9834259999993</v>
      </c>
      <c r="BW11" s="84">
        <f>(ОСББ!$D$31-ОСББ!$D$36)*ОСББ!$E$24/12*'Вхідні дані'!$B$12</f>
        <v>2416.9834259999993</v>
      </c>
      <c r="BX11" s="84">
        <f>(ОСББ!$D$31-ОСББ!$D$36)*ОСББ!$E$24/12*'Вхідні дані'!$B$12</f>
        <v>2416.9834259999993</v>
      </c>
      <c r="BY11" s="84">
        <f>(ОСББ!$D$31-ОСББ!$D$36)*ОСББ!$E$24/12*'Вхідні дані'!$B$12</f>
        <v>2416.9834259999993</v>
      </c>
      <c r="BZ11" s="84">
        <f>(ОСББ!$D$31-ОСББ!$D$36)*ОСББ!$E$24/12*'Вхідні дані'!$B$12</f>
        <v>2416.9834259999993</v>
      </c>
      <c r="CA11" s="84">
        <f>(ОСББ!$D$31-ОСББ!$D$36)*ОСББ!$E$24/12*'Вхідні дані'!$B$12</f>
        <v>2416.9834259999993</v>
      </c>
      <c r="CB11" s="84">
        <f>(ОСББ!$D$31-ОСББ!$D$36)*ОСББ!$E$24/12*'Вхідні дані'!$B$12</f>
        <v>2416.9834259999993</v>
      </c>
      <c r="CC11" s="84">
        <f>(ОСББ!$D$31-ОСББ!$D$36)*ОСББ!$E$24/12*'Вхідні дані'!$B$12</f>
        <v>2416.9834259999993</v>
      </c>
      <c r="CD11" s="84">
        <f>(ОСББ!$D$31-ОСББ!$D$36)*ОСББ!$E$24/12*'Вхідні дані'!$B$12</f>
        <v>2416.9834259999993</v>
      </c>
      <c r="CE11" s="84">
        <f>(ОСББ!$D$31-ОСББ!$D$36)*ОСББ!$E$24/12*'Вхідні дані'!$B$12</f>
        <v>2416.9834259999993</v>
      </c>
      <c r="CF11" s="84">
        <f>(ОСББ!$D$31-ОСББ!$D$36)*ОСББ!$E$24/12*'Вхідні дані'!$B$12</f>
        <v>2416.9834259999993</v>
      </c>
      <c r="CG11" s="84">
        <f>(ОСББ!$D$31-ОСББ!$D$36)*ОСББ!$E$24/12*'Вхідні дані'!$B$12</f>
        <v>2416.9834259999993</v>
      </c>
      <c r="CH11" s="84">
        <f>(ОСББ!$D$31-ОСББ!$D$36)*ОСББ!$E$24/12*'Вхідні дані'!$B$12</f>
        <v>2416.9834259999993</v>
      </c>
      <c r="CI11" s="84">
        <f>(ОСББ!$D$31-ОСББ!$D$36)*ОСББ!$E$24/12*'Вхідні дані'!$B$12</f>
        <v>2416.9834259999993</v>
      </c>
      <c r="CJ11" s="84">
        <f>(ОСББ!$D$31-ОСББ!$D$36)*ОСББ!$E$24/12*'Вхідні дані'!$B$12</f>
        <v>2416.9834259999993</v>
      </c>
      <c r="CK11" s="84">
        <f>(ОСББ!$D$31-ОСББ!$D$36)*ОСББ!$E$24/12*'Вхідні дані'!$B$12</f>
        <v>2416.9834259999993</v>
      </c>
      <c r="CL11" s="84">
        <f>(ОСББ!$D$31-ОСББ!$D$36)*ОСББ!$E$24/12*'Вхідні дані'!$B$12</f>
        <v>2416.9834259999993</v>
      </c>
      <c r="CM11" s="84">
        <f>(ОСББ!$D$31-ОСББ!$D$36)*ОСББ!$E$24/12*'Вхідні дані'!$B$12</f>
        <v>2416.9834259999993</v>
      </c>
      <c r="CN11" s="84">
        <f>(ОСББ!$D$31-ОСББ!$D$36)*ОСББ!$E$24/12*'Вхідні дані'!$B$12</f>
        <v>2416.9834259999993</v>
      </c>
      <c r="CO11" s="84">
        <f>(ОСББ!$D$31-ОСББ!$D$36)*ОСББ!$E$24/12*'Вхідні дані'!$B$12</f>
        <v>2416.9834259999993</v>
      </c>
      <c r="CP11" s="84">
        <f>(ОСББ!$D$31-ОСББ!$D$36)*ОСББ!$E$24/12*'Вхідні дані'!$B$12</f>
        <v>2416.9834259999993</v>
      </c>
      <c r="CQ11" s="84">
        <f>(ОСББ!$D$31-ОСББ!$D$36)*ОСББ!$E$24/12*'Вхідні дані'!$B$12</f>
        <v>2416.9834259999993</v>
      </c>
      <c r="CR11" s="84">
        <f>(ОСББ!$D$31-ОСББ!$D$36)*ОСББ!$E$24/12*'Вхідні дані'!$B$12</f>
        <v>2416.9834259999993</v>
      </c>
      <c r="CS11" s="84">
        <f>(ОСББ!$D$31-ОСББ!$D$36)*ОСББ!$E$24/12*'Вхідні дані'!$B$12</f>
        <v>2416.9834259999993</v>
      </c>
      <c r="CT11" s="84">
        <f>(ОСББ!$D$31-ОСББ!$D$36)*ОСББ!$E$24/12*'Вхідні дані'!$B$12</f>
        <v>2416.9834259999993</v>
      </c>
      <c r="CU11" s="84">
        <f>(ОСББ!$D$31-ОСББ!$D$36)*ОСББ!$E$24/12*'Вхідні дані'!$B$12</f>
        <v>2416.9834259999993</v>
      </c>
      <c r="CV11" s="84">
        <f>(ОСББ!$D$31-ОСББ!$D$36)*ОСББ!$E$24/12*'Вхідні дані'!$B$12</f>
        <v>2416.9834259999993</v>
      </c>
      <c r="CW11" s="84">
        <f>(ОСББ!$D$31-ОСББ!$D$36)*ОСББ!$E$24/12*'Вхідні дані'!$B$12</f>
        <v>2416.9834259999993</v>
      </c>
      <c r="CX11" s="84">
        <f>(ОСББ!$D$31-ОСББ!$D$36)*ОСББ!$E$24/12*'Вхідні дані'!$B$12</f>
        <v>2416.9834259999993</v>
      </c>
      <c r="CY11" s="84">
        <f>(ОСББ!$D$31-ОСББ!$D$36)*ОСББ!$E$24/12*'Вхідні дані'!$B$12</f>
        <v>2416.9834259999993</v>
      </c>
      <c r="CZ11" s="84">
        <f>(ОСББ!$D$31-ОСББ!$D$36)*ОСББ!$E$24/12*'Вхідні дані'!$B$12</f>
        <v>2416.9834259999993</v>
      </c>
      <c r="DA11" s="84">
        <f>(ОСББ!$D$31-ОСББ!$D$36)*ОСББ!$E$24/12*'Вхідні дані'!$B$12</f>
        <v>2416.9834259999993</v>
      </c>
      <c r="DB11" s="84">
        <f>(ОСББ!$D$31-ОСББ!$D$36)*ОСББ!$E$24/12*'Вхідні дані'!$B$12</f>
        <v>2416.9834259999993</v>
      </c>
      <c r="DC11" s="84">
        <f>(ОСББ!$D$31-ОСББ!$D$36)*ОСББ!$E$24/12*'Вхідні дані'!$B$12</f>
        <v>2416.9834259999993</v>
      </c>
      <c r="DD11" s="84">
        <f>(ОСББ!$D$31-ОСББ!$D$36)*ОСББ!$E$24/12*'Вхідні дані'!$B$12</f>
        <v>2416.9834259999993</v>
      </c>
      <c r="DE11" s="84">
        <f>(ОСББ!$D$31-ОСББ!$D$36)*ОСББ!$E$24/12*'Вхідні дані'!$B$12</f>
        <v>2416.9834259999993</v>
      </c>
      <c r="DF11" s="84">
        <f>(ОСББ!$D$31-ОСББ!$D$36)*ОСББ!$E$24/12*'Вхідні дані'!$B$12</f>
        <v>2416.9834259999993</v>
      </c>
      <c r="DG11" s="84">
        <f>(ОСББ!$D$31-ОСББ!$D$36)*ОСББ!$E$24/12*'Вхідні дані'!$B$12</f>
        <v>2416.9834259999993</v>
      </c>
      <c r="DH11" s="84">
        <f>(ОСББ!$D$31-ОСББ!$D$36)*ОСББ!$E$24/12*'Вхідні дані'!$B$12</f>
        <v>2416.9834259999993</v>
      </c>
      <c r="DI11" s="84">
        <f>(ОСББ!$D$31-ОСББ!$D$36)*ОСББ!$E$24/12*'Вхідні дані'!$B$12</f>
        <v>2416.9834259999993</v>
      </c>
      <c r="DJ11" s="84">
        <f>(ОСББ!$D$31-ОСББ!$D$36)*ОСББ!$E$24/12*'Вхідні дані'!$B$12</f>
        <v>2416.9834259999993</v>
      </c>
      <c r="DK11" s="84">
        <f>(ОСББ!$D$31-ОСББ!$D$36)*ОСББ!$E$24/12*'Вхідні дані'!$B$12</f>
        <v>2416.9834259999993</v>
      </c>
      <c r="DL11" s="84">
        <f>(ОСББ!$D$31-ОСББ!$D$36)*ОСББ!$E$24/12*'Вхідні дані'!$B$12</f>
        <v>2416.9834259999993</v>
      </c>
      <c r="DM11" s="84">
        <f>(ОСББ!$D$31-ОСББ!$D$36)*ОСББ!$E$24/12*'Вхідні дані'!$B$12</f>
        <v>2416.9834259999993</v>
      </c>
      <c r="DN11" s="84">
        <f>(ОСББ!$D$31-ОСББ!$D$36)*ОСББ!$E$24/12*'Вхідні дані'!$B$12</f>
        <v>2416.9834259999993</v>
      </c>
      <c r="DO11" s="84">
        <f>(ОСББ!$D$31-ОСББ!$D$36)*ОСББ!$E$24/12*'Вхідні дані'!$B$12</f>
        <v>2416.9834259999993</v>
      </c>
      <c r="DP11" s="84">
        <f>(ОСББ!$D$31-ОСББ!$D$36)*ОСББ!$E$24/12*'Вхідні дані'!$B$12</f>
        <v>2416.9834259999993</v>
      </c>
      <c r="DQ11" s="84">
        <f>(ОСББ!$D$31-ОСББ!$D$36)*ОСББ!$E$24/12*'Вхідні дані'!$B$12</f>
        <v>2416.9834259999993</v>
      </c>
      <c r="DR11" s="84">
        <f>(ОСББ!$D$31-ОСББ!$D$36)*ОСББ!$E$24/12*'Вхідні дані'!$B$12</f>
        <v>2416.9834259999993</v>
      </c>
      <c r="DS11" s="84">
        <f>(ОСББ!$D$31-ОСББ!$D$36)*ОСББ!$E$24/12*'Вхідні дані'!$B$12</f>
        <v>2416.9834259999993</v>
      </c>
      <c r="DT11" s="84">
        <f>(ОСББ!$D$31-ОСББ!$D$36)*ОСББ!$E$24/12*'Вхідні дані'!$B$12</f>
        <v>2416.9834259999993</v>
      </c>
      <c r="DU11" s="84">
        <f>(ОСББ!$D$31-ОСББ!$D$36)*ОСББ!$E$24/12*'Вхідні дані'!$B$12</f>
        <v>2416.9834259999993</v>
      </c>
      <c r="DV11" s="84">
        <f>(ОСББ!$D$31-ОСББ!$D$36)*ОСББ!$E$24/12*'Вхідні дані'!$B$12</f>
        <v>2416.9834259999993</v>
      </c>
      <c r="DW11" s="84">
        <f>(ОСББ!$D$31-ОСББ!$D$36)*ОСББ!$E$24/12*'Вхідні дані'!$B$12</f>
        <v>2416.9834259999993</v>
      </c>
      <c r="DX11" s="84">
        <f>(ОСББ!$D$31-ОСББ!$D$36)*ОСББ!$E$24/12*'Вхідні дані'!$B$12</f>
        <v>2416.9834259999993</v>
      </c>
      <c r="DY11" s="84">
        <f>(ОСББ!$D$31-ОСББ!$D$36)*ОСББ!$E$24/12*'Вхідні дані'!$B$12</f>
        <v>2416.9834259999993</v>
      </c>
      <c r="DZ11" s="84">
        <f>(ОСББ!$D$31-ОСББ!$D$36)*ОСББ!$E$24/12*'Вхідні дані'!$B$12</f>
        <v>2416.9834259999993</v>
      </c>
      <c r="EA11" s="84">
        <f>(ОСББ!$D$31-ОСББ!$D$36)*ОСББ!$E$24/12*'Вхідні дані'!$B$12</f>
        <v>2416.9834259999993</v>
      </c>
      <c r="EB11" s="84">
        <f>(ОСББ!$D$31-ОСББ!$D$36)*ОСББ!$E$24/12*'Вхідні дані'!$B$12</f>
        <v>2416.9834259999993</v>
      </c>
      <c r="EC11" s="84">
        <f>(ОСББ!$D$31-ОСББ!$D$36)*ОСББ!$E$24/12*'Вхідні дані'!$B$12</f>
        <v>2416.9834259999993</v>
      </c>
      <c r="ED11" s="84">
        <f>(ОСББ!$D$31-ОСББ!$D$36)*ОСББ!$E$24/12*'Вхідні дані'!$B$12</f>
        <v>2416.9834259999993</v>
      </c>
      <c r="EE11" s="84">
        <f>(ОСББ!$D$31-ОСББ!$D$36)*ОСББ!$E$24/12*'Вхідні дані'!$B$12</f>
        <v>2416.9834259999993</v>
      </c>
      <c r="EF11" s="84">
        <f>(ОСББ!$D$31-ОСББ!$D$36)*ОСББ!$E$24/12*'Вхідні дані'!$B$12</f>
        <v>2416.9834259999993</v>
      </c>
      <c r="EG11" s="84">
        <f>(ОСББ!$D$31-ОСББ!$D$36)*ОСББ!$E$24/12*'Вхідні дані'!$B$12</f>
        <v>2416.9834259999993</v>
      </c>
      <c r="EH11" s="84">
        <f>(ОСББ!$D$31-ОСББ!$D$36)*ОСББ!$E$24/12*'Вхідні дані'!$B$12</f>
        <v>2416.9834259999993</v>
      </c>
      <c r="EI11" s="84">
        <f>(ОСББ!$D$31-ОСББ!$D$36)*ОСББ!$E$24/12*'Вхідні дані'!$B$12</f>
        <v>2416.9834259999993</v>
      </c>
      <c r="EJ11" s="84">
        <f>(ОСББ!$D$31-ОСББ!$D$36)*ОСББ!$E$24/12*'Вхідні дані'!$B$12</f>
        <v>2416.9834259999993</v>
      </c>
      <c r="EK11" s="84">
        <f>(ОСББ!$D$31-ОСББ!$D$36)*ОСББ!$E$24/12*'Вхідні дані'!$B$12</f>
        <v>2416.9834259999993</v>
      </c>
      <c r="EL11" s="84">
        <f>(ОСББ!$D$31-ОСББ!$D$36)*ОСББ!$E$24/12*'Вхідні дані'!$B$12</f>
        <v>2416.9834259999993</v>
      </c>
      <c r="EM11" s="84">
        <f>(ОСББ!$D$31-ОСББ!$D$36)*ОСББ!$E$24/12*'Вхідні дані'!$B$12</f>
        <v>2416.9834259999993</v>
      </c>
      <c r="EN11" s="84">
        <f>(ОСББ!$D$31-ОСББ!$D$36)*ОСББ!$E$24/12*'Вхідні дані'!$B$12</f>
        <v>2416.9834259999993</v>
      </c>
      <c r="EO11" s="84">
        <f>(ОСББ!$D$31-ОСББ!$D$36)*ОСББ!$E$24/12*'Вхідні дані'!$B$12</f>
        <v>2416.9834259999993</v>
      </c>
      <c r="EP11" s="84">
        <f>(ОСББ!$D$31-ОСББ!$D$36)*ОСББ!$E$24/12*'Вхідні дані'!$B$12</f>
        <v>2416.9834259999993</v>
      </c>
      <c r="EQ11" s="84">
        <f>(ОСББ!$D$31-ОСББ!$D$36)*ОСББ!$E$24/12*'Вхідні дані'!$B$12</f>
        <v>2416.9834259999993</v>
      </c>
      <c r="ER11" s="84">
        <f>(ОСББ!$D$31-ОСББ!$D$36)*ОСББ!$E$24/12*'Вхідні дані'!$B$12</f>
        <v>2416.9834259999993</v>
      </c>
      <c r="ES11" s="84">
        <f>(ОСББ!$D$31-ОСББ!$D$36)*ОСББ!$E$24/12*'Вхідні дані'!$B$12</f>
        <v>2416.9834259999993</v>
      </c>
      <c r="ET11" s="84">
        <f>(ОСББ!$D$31-ОСББ!$D$36)*ОСББ!$E$24/12*'Вхідні дані'!$B$12</f>
        <v>2416.9834259999993</v>
      </c>
      <c r="EU11" s="84">
        <f>(ОСББ!$D$31-ОСББ!$D$36)*ОСББ!$E$24/12*'Вхідні дані'!$B$12</f>
        <v>2416.9834259999993</v>
      </c>
      <c r="EV11" s="84">
        <f>(ОСББ!$D$31-ОСББ!$D$36)*ОСББ!$E$24/12*'Вхідні дані'!$B$12</f>
        <v>2416.9834259999993</v>
      </c>
      <c r="EW11" s="84">
        <f>(ОСББ!$D$31-ОСББ!$D$36)*ОСББ!$E$24/12*'Вхідні дані'!$B$12</f>
        <v>2416.9834259999993</v>
      </c>
      <c r="EX11" s="84">
        <f>(ОСББ!$D$31-ОСББ!$D$36)*ОСББ!$E$24/12*'Вхідні дані'!$B$12</f>
        <v>2416.9834259999993</v>
      </c>
      <c r="EY11" s="84">
        <f>(ОСББ!$D$31-ОСББ!$D$36)*ОСББ!$E$24/12*'Вхідні дані'!$B$12</f>
        <v>2416.9834259999993</v>
      </c>
      <c r="EZ11" s="84">
        <f>(ОСББ!$D$31-ОСББ!$D$36)*ОСББ!$E$24/12*'Вхідні дані'!$B$12</f>
        <v>2416.9834259999993</v>
      </c>
      <c r="FA11" s="84">
        <f>(ОСББ!$D$31-ОСББ!$D$36)*ОСББ!$E$24/12*'Вхідні дані'!$B$12</f>
        <v>2416.9834259999993</v>
      </c>
      <c r="FB11" s="84">
        <f>(ОСББ!$D$31-ОСББ!$D$36)*ОСББ!$E$24/12*'Вхідні дані'!$B$12</f>
        <v>2416.9834259999993</v>
      </c>
      <c r="FC11" s="84">
        <f>(ОСББ!$D$31-ОСББ!$D$36)*ОСББ!$E$24/12*'Вхідні дані'!$B$12</f>
        <v>2416.9834259999993</v>
      </c>
      <c r="FD11" s="84">
        <f>(ОСББ!$D$31-ОСББ!$D$36)*ОСББ!$E$24/12*'Вхідні дані'!$B$12</f>
        <v>2416.9834259999993</v>
      </c>
      <c r="FE11" s="84">
        <f>(ОСББ!$D$31-ОСББ!$D$36)*ОСББ!$E$24/12*'Вхідні дані'!$B$12</f>
        <v>2416.9834259999993</v>
      </c>
      <c r="FF11" s="84">
        <f>(ОСББ!$D$31-ОСББ!$D$36)*ОСББ!$E$24/12*'Вхідні дані'!$B$12</f>
        <v>2416.9834259999993</v>
      </c>
      <c r="FG11" s="84">
        <f>(ОСББ!$D$31-ОСББ!$D$36)*ОСББ!$E$24/12*'Вхідні дані'!$B$12</f>
        <v>2416.9834259999993</v>
      </c>
      <c r="FH11" s="84">
        <f>(ОСББ!$D$31-ОСББ!$D$36)*ОСББ!$E$24/12*'Вхідні дані'!$B$12</f>
        <v>2416.9834259999993</v>
      </c>
      <c r="FI11" s="84">
        <f>(ОСББ!$D$31-ОСББ!$D$36)*ОСББ!$E$24/12*'Вхідні дані'!$B$12</f>
        <v>2416.9834259999993</v>
      </c>
      <c r="FJ11" s="84">
        <f>(ОСББ!$D$31-ОСББ!$D$36)*ОСББ!$E$24/12*'Вхідні дані'!$B$12</f>
        <v>2416.9834259999993</v>
      </c>
      <c r="FK11" s="84">
        <f>(ОСББ!$D$31-ОСББ!$D$36)*ОСББ!$E$24/12*'Вхідні дані'!$B$12</f>
        <v>2416.9834259999993</v>
      </c>
      <c r="FL11" s="84">
        <f>(ОСББ!$D$31-ОСББ!$D$36)*ОСББ!$E$24/12*'Вхідні дані'!$B$12</f>
        <v>2416.9834259999993</v>
      </c>
      <c r="FM11" s="84">
        <f>(ОСББ!$D$31-ОСББ!$D$36)*ОСББ!$E$24/12*'Вхідні дані'!$B$12</f>
        <v>2416.9834259999993</v>
      </c>
      <c r="FN11" s="84">
        <f>(ОСББ!$D$31-ОСББ!$D$36)*ОСББ!$E$24/12*'Вхідні дані'!$B$12</f>
        <v>2416.9834259999993</v>
      </c>
      <c r="FO11" s="84">
        <f>(ОСББ!$D$31-ОСББ!$D$36)*ОСББ!$E$24/12*'Вхідні дані'!$B$12</f>
        <v>2416.9834259999993</v>
      </c>
      <c r="FP11" s="84">
        <f>(ОСББ!$D$31-ОСББ!$D$36)*ОСББ!$E$24/12*'Вхідні дані'!$B$12</f>
        <v>2416.9834259999993</v>
      </c>
      <c r="FQ11" s="84">
        <f>(ОСББ!$D$31-ОСББ!$D$36)*ОСББ!$E$24/12*'Вхідні дані'!$B$12</f>
        <v>2416.9834259999993</v>
      </c>
      <c r="FR11" s="84">
        <f>(ОСББ!$D$31-ОСББ!$D$36)*ОСББ!$E$24/12*'Вхідні дані'!$B$12</f>
        <v>2416.9834259999993</v>
      </c>
      <c r="FS11" s="84">
        <f>(ОСББ!$D$31-ОСББ!$D$36)*ОСББ!$E$24/12*'Вхідні дані'!$B$12</f>
        <v>2416.9834259999993</v>
      </c>
      <c r="FT11" s="84">
        <f>(ОСББ!$D$31-ОСББ!$D$36)*ОСББ!$E$24/12*'Вхідні дані'!$B$12</f>
        <v>2416.9834259999993</v>
      </c>
      <c r="FU11" s="84">
        <f>(ОСББ!$D$31-ОСББ!$D$36)*ОСББ!$E$24/12*'Вхідні дані'!$B$12</f>
        <v>2416.9834259999993</v>
      </c>
      <c r="FV11" s="84">
        <f>(ОСББ!$D$31-ОСББ!$D$36)*ОСББ!$E$24/12*'Вхідні дані'!$B$12</f>
        <v>2416.9834259999993</v>
      </c>
      <c r="FW11" s="84">
        <f>(ОСББ!$D$31-ОСББ!$D$36)*ОСББ!$E$24/12*'Вхідні дані'!$B$12</f>
        <v>2416.9834259999993</v>
      </c>
      <c r="FX11" s="84">
        <f>(ОСББ!$D$31-ОСББ!$D$36)*ОСББ!$E$24/12*'Вхідні дані'!$B$12</f>
        <v>2416.9834259999993</v>
      </c>
      <c r="FY11" s="84">
        <f>(ОСББ!$D$31-ОСББ!$D$36)*ОСББ!$E$24/12*'Вхідні дані'!$B$12</f>
        <v>2416.9834259999993</v>
      </c>
      <c r="FZ11" s="84">
        <f>(ОСББ!$D$31-ОСББ!$D$36)*ОСББ!$E$24/12*'Вхідні дані'!$B$12</f>
        <v>2416.9834259999993</v>
      </c>
      <c r="GA11" s="84">
        <f>(ОСББ!$D$31-ОСББ!$D$36)*ОСББ!$E$24/12*'Вхідні дані'!$B$12</f>
        <v>2416.9834259999993</v>
      </c>
      <c r="GB11" s="84">
        <f>(ОСББ!$D$31-ОСББ!$D$36)*ОСББ!$E$24/12*'Вхідні дані'!$B$12</f>
        <v>2416.9834259999993</v>
      </c>
      <c r="GC11" s="84">
        <f>(ОСББ!$D$31-ОСББ!$D$36)*ОСББ!$E$24/12*'Вхідні дані'!$B$12</f>
        <v>2416.9834259999993</v>
      </c>
      <c r="GD11" s="84">
        <f>(ОСББ!$D$31-ОСББ!$D$36)*ОСББ!$E$24/12*'Вхідні дані'!$B$12</f>
        <v>2416.9834259999993</v>
      </c>
      <c r="GE11" s="84">
        <f>(ОСББ!$D$31-ОСББ!$D$36)*ОСББ!$E$24/12*'Вхідні дані'!$B$12</f>
        <v>2416.9834259999993</v>
      </c>
      <c r="GF11" s="84">
        <f>(ОСББ!$D$31-ОСББ!$D$36)*ОСББ!$E$24/12*'Вхідні дані'!$B$12</f>
        <v>2416.9834259999993</v>
      </c>
      <c r="GG11" s="84">
        <f>(ОСББ!$D$31-ОСББ!$D$36)*ОСББ!$E$24/12*'Вхідні дані'!$B$12</f>
        <v>2416.9834259999993</v>
      </c>
      <c r="GH11" s="84">
        <f>(ОСББ!$D$31-ОСББ!$D$36)*ОСББ!$E$24/12*'Вхідні дані'!$B$12</f>
        <v>2416.9834259999993</v>
      </c>
      <c r="GI11" s="84">
        <f>(ОСББ!$D$31-ОСББ!$D$36)*ОСББ!$E$24/12*'Вхідні дані'!$B$12</f>
        <v>2416.9834259999993</v>
      </c>
      <c r="GJ11" s="84">
        <f>(ОСББ!$D$31-ОСББ!$D$36)*ОСББ!$E$24/12*'Вхідні дані'!$B$12</f>
        <v>2416.9834259999993</v>
      </c>
      <c r="GK11" s="84">
        <f>(ОСББ!$D$31-ОСББ!$D$36)*ОСББ!$E$24/12*'Вхідні дані'!$B$12</f>
        <v>2416.9834259999993</v>
      </c>
      <c r="GL11" s="84">
        <f>(ОСББ!$D$31-ОСББ!$D$36)*ОСББ!$E$24/12*'Вхідні дані'!$B$12</f>
        <v>2416.9834259999993</v>
      </c>
      <c r="GM11" s="84">
        <f>(ОСББ!$D$31-ОСББ!$D$36)*ОСББ!$E$24/12*'Вхідні дані'!$B$12</f>
        <v>2416.9834259999993</v>
      </c>
      <c r="GN11" s="84">
        <f>(ОСББ!$D$31-ОСББ!$D$36)*ОСББ!$E$24/12*'Вхідні дані'!$B$12</f>
        <v>2416.9834259999993</v>
      </c>
      <c r="GO11" s="84">
        <f>(ОСББ!$D$31-ОСББ!$D$36)*ОСББ!$E$24/12*'Вхідні дані'!$B$12</f>
        <v>2416.9834259999993</v>
      </c>
      <c r="GP11" s="84">
        <f>(ОСББ!$D$31-ОСББ!$D$36)*ОСББ!$E$24/12*'Вхідні дані'!$B$12</f>
        <v>2416.9834259999993</v>
      </c>
      <c r="GQ11" s="84">
        <f>(ОСББ!$D$31-ОСББ!$D$36)*ОСББ!$E$24/12*'Вхідні дані'!$B$12</f>
        <v>2416.9834259999993</v>
      </c>
      <c r="GR11" s="84">
        <f>(ОСББ!$D$31-ОСББ!$D$36)*ОСББ!$E$24/12*'Вхідні дані'!$B$12</f>
        <v>2416.9834259999993</v>
      </c>
      <c r="GS11" s="84">
        <f>(ОСББ!$D$31-ОСББ!$D$36)*ОСББ!$E$24/12*'Вхідні дані'!$B$12</f>
        <v>2416.9834259999993</v>
      </c>
      <c r="GT11" s="84">
        <f>(ОСББ!$D$31-ОСББ!$D$36)*ОСББ!$E$24/12*'Вхідні дані'!$B$12</f>
        <v>2416.9834259999993</v>
      </c>
      <c r="GU11" s="84">
        <f>(ОСББ!$D$31-ОСББ!$D$36)*ОСББ!$E$24/12*'Вхідні дані'!$B$12</f>
        <v>2416.9834259999993</v>
      </c>
      <c r="GV11" s="84">
        <f>(ОСББ!$D$31-ОСББ!$D$36)*ОСББ!$E$24/12*'Вхідні дані'!$B$12</f>
        <v>2416.9834259999993</v>
      </c>
      <c r="GW11" s="84">
        <f>(ОСББ!$D$31-ОСББ!$D$36)*ОСББ!$E$24/12*'Вхідні дані'!$B$12</f>
        <v>2416.9834259999993</v>
      </c>
      <c r="GX11" s="84">
        <f>(ОСББ!$D$31-ОСББ!$D$36)*ОСББ!$E$24/12*'Вхідні дані'!$B$12</f>
        <v>2416.9834259999993</v>
      </c>
      <c r="GY11" s="84">
        <f>(ОСББ!$D$31-ОСББ!$D$36)*ОСББ!$E$24/12*'Вхідні дані'!$B$12</f>
        <v>2416.9834259999993</v>
      </c>
      <c r="GZ11" s="84">
        <f>(ОСББ!$D$31-ОСББ!$D$36)*ОСББ!$E$24/12*'Вхідні дані'!$B$12</f>
        <v>2416.9834259999993</v>
      </c>
      <c r="HA11" s="84">
        <f>(ОСББ!$D$31-ОСББ!$D$36)*ОСББ!$E$24/12*'Вхідні дані'!$B$12</f>
        <v>2416.9834259999993</v>
      </c>
      <c r="HB11" s="84">
        <f>(ОСББ!$D$31-ОСББ!$D$36)*ОСББ!$E$24/12*'Вхідні дані'!$B$12</f>
        <v>2416.9834259999993</v>
      </c>
      <c r="HC11" s="84">
        <f>(ОСББ!$D$31-ОСББ!$D$36)*ОСББ!$E$24/12*'Вхідні дані'!$B$12</f>
        <v>2416.9834259999993</v>
      </c>
      <c r="HD11" s="84">
        <f>(ОСББ!$D$31-ОСББ!$D$36)*ОСББ!$E$24/12*'Вхідні дані'!$B$12</f>
        <v>2416.9834259999993</v>
      </c>
      <c r="HE11" s="84">
        <f>(ОСББ!$D$31-ОСББ!$D$36)*ОСББ!$E$24/12*'Вхідні дані'!$B$12</f>
        <v>2416.9834259999993</v>
      </c>
      <c r="HF11" s="84">
        <f>(ОСББ!$D$31-ОСББ!$D$36)*ОСББ!$E$24/12*'Вхідні дані'!$B$12</f>
        <v>2416.9834259999993</v>
      </c>
      <c r="HG11" s="84">
        <f>(ОСББ!$D$31-ОСББ!$D$36)*ОСББ!$E$24/12*'Вхідні дані'!$B$12</f>
        <v>2416.9834259999993</v>
      </c>
      <c r="HH11" s="84">
        <f>(ОСББ!$D$31-ОСББ!$D$36)*ОСББ!$E$24/12*'Вхідні дані'!$B$12</f>
        <v>2416.9834259999993</v>
      </c>
      <c r="HI11" s="84">
        <f>(ОСББ!$D$31-ОСББ!$D$36)*ОСББ!$E$24/12*'Вхідні дані'!$B$12</f>
        <v>2416.9834259999993</v>
      </c>
      <c r="HJ11" s="84">
        <f>(ОСББ!$D$31-ОСББ!$D$36)*ОСББ!$E$24/12*'Вхідні дані'!$B$12</f>
        <v>2416.9834259999993</v>
      </c>
      <c r="HK11" s="84">
        <f>(ОСББ!$D$31-ОСББ!$D$36)*ОСББ!$E$24/12*'Вхідні дані'!$B$12</f>
        <v>2416.9834259999993</v>
      </c>
      <c r="HL11" s="84">
        <f>(ОСББ!$D$31-ОСББ!$D$36)*ОСББ!$E$24/12*'Вхідні дані'!$B$12</f>
        <v>2416.9834259999993</v>
      </c>
      <c r="HM11" s="84">
        <f>(ОСББ!$D$31-ОСББ!$D$36)*ОСББ!$E$24/12*'Вхідні дані'!$B$12</f>
        <v>2416.9834259999993</v>
      </c>
      <c r="HN11" s="84">
        <f>(ОСББ!$D$31-ОСББ!$D$36)*ОСББ!$E$24/12*'Вхідні дані'!$B$12</f>
        <v>2416.9834259999993</v>
      </c>
      <c r="HO11" s="84">
        <f>(ОСББ!$D$31-ОСББ!$D$36)*ОСББ!$E$24/12*'Вхідні дані'!$B$12</f>
        <v>2416.9834259999993</v>
      </c>
      <c r="HP11" s="84">
        <f>(ОСББ!$D$31-ОСББ!$D$36)*ОСББ!$E$24/12*'Вхідні дані'!$B$12</f>
        <v>2416.9834259999993</v>
      </c>
      <c r="HQ11" s="84">
        <f>(ОСББ!$D$31-ОСББ!$D$36)*ОСББ!$E$24/12*'Вхідні дані'!$B$12</f>
        <v>2416.9834259999993</v>
      </c>
      <c r="HR11" s="84">
        <f>(ОСББ!$D$31-ОСББ!$D$36)*ОСББ!$E$24/12*'Вхідні дані'!$B$12</f>
        <v>2416.9834259999993</v>
      </c>
      <c r="HS11" s="84">
        <f>(ОСББ!$D$31-ОСББ!$D$36)*ОСББ!$E$24/12*'Вхідні дані'!$B$12</f>
        <v>2416.9834259999993</v>
      </c>
      <c r="HT11" s="84">
        <f>(ОСББ!$D$31-ОСББ!$D$36)*ОСББ!$E$24/12*'Вхідні дані'!$B$12</f>
        <v>2416.9834259999993</v>
      </c>
      <c r="HU11" s="84">
        <f>(ОСББ!$D$31-ОСББ!$D$36)*ОСББ!$E$24/12*'Вхідні дані'!$B$12</f>
        <v>2416.9834259999993</v>
      </c>
      <c r="HV11" s="84">
        <f>(ОСББ!$D$31-ОСББ!$D$36)*ОСББ!$E$24/12*'Вхідні дані'!$B$12</f>
        <v>2416.9834259999993</v>
      </c>
      <c r="HW11" s="84">
        <f>(ОСББ!$D$31-ОСББ!$D$36)*ОСББ!$E$24/12*'Вхідні дані'!$B$12</f>
        <v>2416.9834259999993</v>
      </c>
      <c r="HX11" s="84">
        <f>(ОСББ!$D$31-ОСББ!$D$36)*ОСББ!$E$24/12*'Вхідні дані'!$B$12</f>
        <v>2416.9834259999993</v>
      </c>
      <c r="HY11" s="84">
        <f>(ОСББ!$D$31-ОСББ!$D$36)*ОСББ!$E$24/12*'Вхідні дані'!$B$12</f>
        <v>2416.9834259999993</v>
      </c>
      <c r="HZ11" s="84">
        <f>(ОСББ!$D$31-ОСББ!$D$36)*ОСББ!$E$24/12*'Вхідні дані'!$B$12</f>
        <v>2416.9834259999993</v>
      </c>
      <c r="IA11" s="84">
        <f>(ОСББ!$D$31-ОСББ!$D$36)*ОСББ!$E$24/12*'Вхідні дані'!$B$12</f>
        <v>2416.9834259999993</v>
      </c>
      <c r="IB11" s="84">
        <f>(ОСББ!$D$31-ОСББ!$D$36)*ОСББ!$E$24/12*'Вхідні дані'!$B$12</f>
        <v>2416.9834259999993</v>
      </c>
      <c r="IC11" s="84">
        <f>(ОСББ!$D$31-ОСББ!$D$36)*ОСББ!$E$24/12*'Вхідні дані'!$B$12</f>
        <v>2416.9834259999993</v>
      </c>
      <c r="ID11" s="84">
        <f>(ОСББ!$D$31-ОСББ!$D$36)*ОСББ!$E$24/12*'Вхідні дані'!$B$12</f>
        <v>2416.9834259999993</v>
      </c>
      <c r="IE11" s="84">
        <f>(ОСББ!$D$31-ОСББ!$D$36)*ОСББ!$E$24/12*'Вхідні дані'!$B$12</f>
        <v>2416.9834259999993</v>
      </c>
      <c r="IF11" s="84">
        <f>(ОСББ!$D$31-ОСББ!$D$36)*ОСББ!$E$24/12*'Вхідні дані'!$B$12</f>
        <v>2416.9834259999993</v>
      </c>
      <c r="IG11" s="84">
        <f>(ОСББ!$D$31-ОСББ!$D$36)*ОСББ!$E$24/12*'Вхідні дані'!$B$12</f>
        <v>2416.9834259999993</v>
      </c>
    </row>
    <row r="12" spans="1:247" ht="30" customHeight="1" x14ac:dyDescent="0.25">
      <c r="A12" s="94" t="s">
        <v>329</v>
      </c>
      <c r="B12" s="83">
        <f>B5+B6+B9</f>
        <v>0</v>
      </c>
      <c r="C12" s="83">
        <f t="shared" ref="C12:BM12" si="10">C5+C6+C9</f>
        <v>0</v>
      </c>
      <c r="D12" s="83">
        <f t="shared" si="10"/>
        <v>0</v>
      </c>
      <c r="E12" s="83">
        <f t="shared" si="10"/>
        <v>-174334.19302068252</v>
      </c>
      <c r="F12" s="83">
        <f t="shared" si="10"/>
        <v>-195719.25739836492</v>
      </c>
      <c r="G12" s="83">
        <f t="shared" si="10"/>
        <v>-197055.82392197006</v>
      </c>
      <c r="H12" s="83">
        <f t="shared" si="10"/>
        <v>-197055.82392197006</v>
      </c>
      <c r="I12" s="83">
        <f t="shared" si="10"/>
        <v>-194382.69087475978</v>
      </c>
      <c r="J12" s="83">
        <f t="shared" si="10"/>
        <v>-197055.82392197006</v>
      </c>
      <c r="K12" s="83">
        <f t="shared" si="10"/>
        <v>-172997.62649707735</v>
      </c>
      <c r="L12" s="83">
        <f t="shared" si="10"/>
        <v>-155622.26169021041</v>
      </c>
      <c r="M12" s="83">
        <f t="shared" si="10"/>
        <v>-155622.26169021041</v>
      </c>
      <c r="N12" s="83">
        <f t="shared" si="10"/>
        <v>-155622.26169021041</v>
      </c>
      <c r="O12" s="83">
        <f t="shared" si="10"/>
        <v>-155622.26169021041</v>
      </c>
      <c r="P12" s="83">
        <f t="shared" si="10"/>
        <v>-155622.26169021041</v>
      </c>
      <c r="Q12" s="83">
        <f t="shared" si="10"/>
        <v>-183690.15868591855</v>
      </c>
      <c r="R12" s="83">
        <f t="shared" si="10"/>
        <v>-215767.75525244215</v>
      </c>
      <c r="S12" s="83">
        <f t="shared" si="10"/>
        <v>-217772.60503784989</v>
      </c>
      <c r="T12" s="83">
        <f t="shared" si="10"/>
        <v>-217772.60503784989</v>
      </c>
      <c r="U12" s="83">
        <f t="shared" si="10"/>
        <v>-211758.05568162672</v>
      </c>
      <c r="V12" s="83">
        <f t="shared" si="10"/>
        <v>-217772.60503784989</v>
      </c>
      <c r="W12" s="83">
        <f t="shared" si="10"/>
        <v>-183690.15868591855</v>
      </c>
      <c r="X12" s="83">
        <f t="shared" si="10"/>
        <v>-155622.26169021041</v>
      </c>
      <c r="Y12" s="83">
        <f t="shared" si="10"/>
        <v>-155622.26169021041</v>
      </c>
      <c r="Z12" s="83">
        <f t="shared" si="10"/>
        <v>-155622.26169021041</v>
      </c>
      <c r="AA12" s="83">
        <f t="shared" si="10"/>
        <v>-155622.26169021041</v>
      </c>
      <c r="AB12" s="83">
        <f t="shared" si="10"/>
        <v>-155622.26169021041</v>
      </c>
      <c r="AC12" s="83">
        <f t="shared" si="10"/>
        <v>-197724.10718377263</v>
      </c>
      <c r="AD12" s="83">
        <f t="shared" si="10"/>
        <v>-245840.50203355803</v>
      </c>
      <c r="AE12" s="83">
        <f t="shared" si="10"/>
        <v>-248847.77671166963</v>
      </c>
      <c r="AF12" s="83">
        <f t="shared" si="10"/>
        <v>-248847.77671166963</v>
      </c>
      <c r="AG12" s="83">
        <f t="shared" si="10"/>
        <v>-239825.95267733486</v>
      </c>
      <c r="AH12" s="83">
        <f t="shared" si="10"/>
        <v>-248847.77671166963</v>
      </c>
      <c r="AI12" s="83">
        <f t="shared" si="10"/>
        <v>-197724.10718377263</v>
      </c>
      <c r="AJ12" s="83">
        <f t="shared" si="10"/>
        <v>-155622.26169021041</v>
      </c>
      <c r="AK12" s="83">
        <f t="shared" si="10"/>
        <v>-155622.26169021041</v>
      </c>
      <c r="AL12" s="83">
        <f t="shared" si="10"/>
        <v>-155622.26169021041</v>
      </c>
      <c r="AM12" s="83">
        <f t="shared" si="10"/>
        <v>-155622.26169021041</v>
      </c>
      <c r="AN12" s="83">
        <f t="shared" si="10"/>
        <v>-155622.26169021041</v>
      </c>
      <c r="AO12" s="83">
        <f t="shared" si="10"/>
        <v>-197724.10718377263</v>
      </c>
      <c r="AP12" s="83">
        <f t="shared" si="10"/>
        <v>-245840.50203355803</v>
      </c>
      <c r="AQ12" s="83">
        <f t="shared" si="10"/>
        <v>-248847.77671166963</v>
      </c>
      <c r="AR12" s="83">
        <f t="shared" si="10"/>
        <v>-248847.77671166963</v>
      </c>
      <c r="AS12" s="83">
        <f t="shared" si="10"/>
        <v>-239825.95267733486</v>
      </c>
      <c r="AT12" s="83">
        <f t="shared" si="10"/>
        <v>-248847.77671166963</v>
      </c>
      <c r="AU12" s="83">
        <f t="shared" si="10"/>
        <v>-197724.10718377263</v>
      </c>
      <c r="AV12" s="83">
        <f t="shared" si="10"/>
        <v>-155622.26169021041</v>
      </c>
      <c r="AW12" s="83">
        <f t="shared" si="10"/>
        <v>-155622.26169021041</v>
      </c>
      <c r="AX12" s="83">
        <f t="shared" si="10"/>
        <v>-155622.26169021041</v>
      </c>
      <c r="AY12" s="83">
        <f t="shared" si="10"/>
        <v>-155622.26169021041</v>
      </c>
      <c r="AZ12" s="83">
        <f t="shared" si="10"/>
        <v>-155622.26169021041</v>
      </c>
      <c r="BA12" s="83">
        <f t="shared" si="10"/>
        <v>-197724.10718377263</v>
      </c>
      <c r="BB12" s="83">
        <f t="shared" si="10"/>
        <v>-245840.50203355803</v>
      </c>
      <c r="BC12" s="83">
        <f t="shared" si="10"/>
        <v>-248847.77671166963</v>
      </c>
      <c r="BD12" s="83">
        <f t="shared" si="10"/>
        <v>-248847.77671166963</v>
      </c>
      <c r="BE12" s="83">
        <f t="shared" si="10"/>
        <v>-242833.22735544646</v>
      </c>
      <c r="BF12" s="83">
        <f t="shared" si="10"/>
        <v>-248847.77671166963</v>
      </c>
      <c r="BG12" s="83">
        <f t="shared" si="10"/>
        <v>-194716.83250566106</v>
      </c>
      <c r="BH12" s="83">
        <f t="shared" si="10"/>
        <v>-155622.26169021041</v>
      </c>
      <c r="BI12" s="83">
        <f t="shared" si="10"/>
        <v>-155622.26169021041</v>
      </c>
      <c r="BJ12" s="83">
        <f t="shared" si="10"/>
        <v>-155622.26169021041</v>
      </c>
      <c r="BK12" s="83">
        <f t="shared" si="10"/>
        <v>-155622.26169021041</v>
      </c>
      <c r="BL12" s="83">
        <f t="shared" si="10"/>
        <v>-155622.26169021041</v>
      </c>
      <c r="BM12" s="83">
        <f t="shared" si="10"/>
        <v>-42101.845493562229</v>
      </c>
      <c r="BN12" s="83">
        <f t="shared" ref="BN12:DY12" si="11">BN5+BN6+BN9</f>
        <v>-90218.240343347643</v>
      </c>
      <c r="BO12" s="83">
        <f t="shared" si="11"/>
        <v>-93225.515021459229</v>
      </c>
      <c r="BP12" s="83">
        <f t="shared" si="11"/>
        <v>-93225.515021459229</v>
      </c>
      <c r="BQ12" s="83">
        <f t="shared" si="11"/>
        <v>-87210.965665236057</v>
      </c>
      <c r="BR12" s="83">
        <f t="shared" si="11"/>
        <v>-93225.515021459229</v>
      </c>
      <c r="BS12" s="83">
        <f t="shared" si="11"/>
        <v>-39094.570815450643</v>
      </c>
      <c r="BT12" s="83">
        <f t="shared" si="11"/>
        <v>0</v>
      </c>
      <c r="BU12" s="83">
        <f t="shared" si="11"/>
        <v>0</v>
      </c>
      <c r="BV12" s="83">
        <f t="shared" si="11"/>
        <v>0</v>
      </c>
      <c r="BW12" s="83">
        <f t="shared" si="11"/>
        <v>0</v>
      </c>
      <c r="BX12" s="83">
        <f t="shared" si="11"/>
        <v>0</v>
      </c>
      <c r="BY12" s="83">
        <f t="shared" si="11"/>
        <v>-42101.845493562229</v>
      </c>
      <c r="BZ12" s="83">
        <f t="shared" si="11"/>
        <v>-90218.240343347643</v>
      </c>
      <c r="CA12" s="83">
        <f t="shared" si="11"/>
        <v>-93225.515021459229</v>
      </c>
      <c r="CB12" s="83">
        <f t="shared" si="11"/>
        <v>-93225.515021459229</v>
      </c>
      <c r="CC12" s="83">
        <f t="shared" si="11"/>
        <v>-87210.965665236057</v>
      </c>
      <c r="CD12" s="83">
        <f t="shared" si="11"/>
        <v>-93225.515021459229</v>
      </c>
      <c r="CE12" s="83">
        <f t="shared" si="11"/>
        <v>-39094.570815450643</v>
      </c>
      <c r="CF12" s="83">
        <f t="shared" si="11"/>
        <v>0</v>
      </c>
      <c r="CG12" s="83">
        <f t="shared" si="11"/>
        <v>0</v>
      </c>
      <c r="CH12" s="83">
        <f t="shared" si="11"/>
        <v>0</v>
      </c>
      <c r="CI12" s="83">
        <f t="shared" si="11"/>
        <v>0</v>
      </c>
      <c r="CJ12" s="83">
        <f t="shared" si="11"/>
        <v>0</v>
      </c>
      <c r="CK12" s="83">
        <f t="shared" si="11"/>
        <v>-42101.845493562229</v>
      </c>
      <c r="CL12" s="83">
        <f t="shared" si="11"/>
        <v>-90218.240343347643</v>
      </c>
      <c r="CM12" s="83">
        <f t="shared" si="11"/>
        <v>-93225.515021459229</v>
      </c>
      <c r="CN12" s="83">
        <f t="shared" si="11"/>
        <v>-93225.515021459229</v>
      </c>
      <c r="CO12" s="83">
        <f t="shared" si="11"/>
        <v>-87210.965665236057</v>
      </c>
      <c r="CP12" s="83">
        <f t="shared" si="11"/>
        <v>-93225.515021459229</v>
      </c>
      <c r="CQ12" s="83">
        <f t="shared" si="11"/>
        <v>-39094.570815450643</v>
      </c>
      <c r="CR12" s="83">
        <f t="shared" si="11"/>
        <v>0</v>
      </c>
      <c r="CS12" s="83">
        <f t="shared" si="11"/>
        <v>0</v>
      </c>
      <c r="CT12" s="83">
        <f t="shared" si="11"/>
        <v>0</v>
      </c>
      <c r="CU12" s="83">
        <f t="shared" si="11"/>
        <v>0</v>
      </c>
      <c r="CV12" s="83">
        <f t="shared" si="11"/>
        <v>0</v>
      </c>
      <c r="CW12" s="83">
        <f t="shared" si="11"/>
        <v>-42101.845493562229</v>
      </c>
      <c r="CX12" s="83">
        <f t="shared" si="11"/>
        <v>-90218.240343347643</v>
      </c>
      <c r="CY12" s="83">
        <f t="shared" si="11"/>
        <v>-93225.515021459229</v>
      </c>
      <c r="CZ12" s="83">
        <f t="shared" si="11"/>
        <v>-93225.515021459229</v>
      </c>
      <c r="DA12" s="83">
        <f t="shared" si="11"/>
        <v>-87210.965665236057</v>
      </c>
      <c r="DB12" s="83">
        <f t="shared" si="11"/>
        <v>-93225.515021459229</v>
      </c>
      <c r="DC12" s="83">
        <f t="shared" si="11"/>
        <v>-39094.570815450643</v>
      </c>
      <c r="DD12" s="83">
        <f t="shared" si="11"/>
        <v>0</v>
      </c>
      <c r="DE12" s="83">
        <f t="shared" si="11"/>
        <v>0</v>
      </c>
      <c r="DF12" s="83">
        <f t="shared" si="11"/>
        <v>0</v>
      </c>
      <c r="DG12" s="83">
        <f t="shared" si="11"/>
        <v>0</v>
      </c>
      <c r="DH12" s="83">
        <f t="shared" si="11"/>
        <v>0</v>
      </c>
      <c r="DI12" s="83">
        <f t="shared" si="11"/>
        <v>-42101.845493562229</v>
      </c>
      <c r="DJ12" s="83">
        <f t="shared" si="11"/>
        <v>-90218.240343347643</v>
      </c>
      <c r="DK12" s="83">
        <f t="shared" si="11"/>
        <v>-93225.515021459229</v>
      </c>
      <c r="DL12" s="83">
        <f t="shared" si="11"/>
        <v>-93225.515021459229</v>
      </c>
      <c r="DM12" s="83">
        <f t="shared" si="11"/>
        <v>-87210.965665236057</v>
      </c>
      <c r="DN12" s="83">
        <f t="shared" si="11"/>
        <v>-93225.515021459229</v>
      </c>
      <c r="DO12" s="83">
        <f t="shared" si="11"/>
        <v>-39094.570815450643</v>
      </c>
      <c r="DP12" s="83">
        <f t="shared" si="11"/>
        <v>0</v>
      </c>
      <c r="DQ12" s="83">
        <f t="shared" si="11"/>
        <v>0</v>
      </c>
      <c r="DR12" s="83">
        <f t="shared" si="11"/>
        <v>0</v>
      </c>
      <c r="DS12" s="83">
        <f t="shared" si="11"/>
        <v>0</v>
      </c>
      <c r="DT12" s="83">
        <f t="shared" si="11"/>
        <v>0</v>
      </c>
      <c r="DU12" s="83">
        <f t="shared" si="11"/>
        <v>-42101.845493562229</v>
      </c>
      <c r="DV12" s="83">
        <f t="shared" si="11"/>
        <v>-90218.240343347643</v>
      </c>
      <c r="DW12" s="83">
        <f t="shared" si="11"/>
        <v>-93225.515021459229</v>
      </c>
      <c r="DX12" s="83">
        <f t="shared" si="11"/>
        <v>-93225.515021459229</v>
      </c>
      <c r="DY12" s="83">
        <f t="shared" si="11"/>
        <v>-87210.965665236057</v>
      </c>
      <c r="DZ12" s="83">
        <f t="shared" ref="DZ12:GK12" si="12">DZ5+DZ6+DZ9</f>
        <v>-93225.515021459229</v>
      </c>
      <c r="EA12" s="83">
        <f t="shared" si="12"/>
        <v>-39094.570815450643</v>
      </c>
      <c r="EB12" s="83">
        <f t="shared" si="12"/>
        <v>0</v>
      </c>
      <c r="EC12" s="83">
        <f t="shared" si="12"/>
        <v>0</v>
      </c>
      <c r="ED12" s="83">
        <f t="shared" si="12"/>
        <v>0</v>
      </c>
      <c r="EE12" s="83">
        <f t="shared" si="12"/>
        <v>0</v>
      </c>
      <c r="EF12" s="83">
        <f t="shared" si="12"/>
        <v>0</v>
      </c>
      <c r="EG12" s="83">
        <f t="shared" si="12"/>
        <v>-42101.845493562229</v>
      </c>
      <c r="EH12" s="83">
        <f t="shared" si="12"/>
        <v>-90218.240343347643</v>
      </c>
      <c r="EI12" s="83">
        <f t="shared" si="12"/>
        <v>-93225.515021459229</v>
      </c>
      <c r="EJ12" s="83">
        <f t="shared" si="12"/>
        <v>-93225.515021459229</v>
      </c>
      <c r="EK12" s="83">
        <f t="shared" si="12"/>
        <v>-87210.965665236057</v>
      </c>
      <c r="EL12" s="83">
        <f t="shared" si="12"/>
        <v>-93225.515021459229</v>
      </c>
      <c r="EM12" s="83">
        <f t="shared" si="12"/>
        <v>-39094.570815450643</v>
      </c>
      <c r="EN12" s="83">
        <f t="shared" si="12"/>
        <v>0</v>
      </c>
      <c r="EO12" s="83">
        <f t="shared" si="12"/>
        <v>0</v>
      </c>
      <c r="EP12" s="83">
        <f t="shared" si="12"/>
        <v>0</v>
      </c>
      <c r="EQ12" s="83">
        <f t="shared" si="12"/>
        <v>0</v>
      </c>
      <c r="ER12" s="83">
        <f t="shared" si="12"/>
        <v>0</v>
      </c>
      <c r="ES12" s="83">
        <f t="shared" si="12"/>
        <v>-42101.845493562229</v>
      </c>
      <c r="ET12" s="83">
        <f t="shared" si="12"/>
        <v>-90218.240343347643</v>
      </c>
      <c r="EU12" s="83">
        <f t="shared" si="12"/>
        <v>-93225.515021459229</v>
      </c>
      <c r="EV12" s="83">
        <f t="shared" si="12"/>
        <v>-93225.515021459229</v>
      </c>
      <c r="EW12" s="83">
        <f t="shared" si="12"/>
        <v>-87210.965665236057</v>
      </c>
      <c r="EX12" s="83">
        <f t="shared" si="12"/>
        <v>-93225.515021459229</v>
      </c>
      <c r="EY12" s="83">
        <f t="shared" si="12"/>
        <v>-39094.570815450643</v>
      </c>
      <c r="EZ12" s="83">
        <f t="shared" si="12"/>
        <v>0</v>
      </c>
      <c r="FA12" s="83">
        <f t="shared" si="12"/>
        <v>0</v>
      </c>
      <c r="FB12" s="83">
        <f t="shared" si="12"/>
        <v>0</v>
      </c>
      <c r="FC12" s="83">
        <f t="shared" si="12"/>
        <v>0</v>
      </c>
      <c r="FD12" s="83">
        <f t="shared" si="12"/>
        <v>0</v>
      </c>
      <c r="FE12" s="83">
        <f t="shared" si="12"/>
        <v>-42101.845493562229</v>
      </c>
      <c r="FF12" s="83">
        <f t="shared" si="12"/>
        <v>-90218.240343347643</v>
      </c>
      <c r="FG12" s="83">
        <f t="shared" si="12"/>
        <v>-93225.515021459229</v>
      </c>
      <c r="FH12" s="83">
        <f t="shared" si="12"/>
        <v>-93225.515021459229</v>
      </c>
      <c r="FI12" s="83">
        <f t="shared" si="12"/>
        <v>-87210.965665236057</v>
      </c>
      <c r="FJ12" s="83">
        <f t="shared" si="12"/>
        <v>-93225.515021459229</v>
      </c>
      <c r="FK12" s="83">
        <f t="shared" si="12"/>
        <v>-39094.570815450643</v>
      </c>
      <c r="FL12" s="83">
        <f t="shared" si="12"/>
        <v>0</v>
      </c>
      <c r="FM12" s="83">
        <f t="shared" si="12"/>
        <v>0</v>
      </c>
      <c r="FN12" s="83">
        <f t="shared" si="12"/>
        <v>0</v>
      </c>
      <c r="FO12" s="83">
        <f t="shared" si="12"/>
        <v>0</v>
      </c>
      <c r="FP12" s="83">
        <f t="shared" si="12"/>
        <v>0</v>
      </c>
      <c r="FQ12" s="83">
        <f t="shared" si="12"/>
        <v>-42101.845493562229</v>
      </c>
      <c r="FR12" s="83">
        <f t="shared" si="12"/>
        <v>-90218.240343347643</v>
      </c>
      <c r="FS12" s="83">
        <f t="shared" si="12"/>
        <v>-93225.515021459229</v>
      </c>
      <c r="FT12" s="83">
        <f t="shared" si="12"/>
        <v>-93225.515021459229</v>
      </c>
      <c r="FU12" s="83">
        <f t="shared" si="12"/>
        <v>-87210.965665236057</v>
      </c>
      <c r="FV12" s="83">
        <f t="shared" si="12"/>
        <v>-93225.515021459229</v>
      </c>
      <c r="FW12" s="83">
        <f t="shared" si="12"/>
        <v>-39094.570815450643</v>
      </c>
      <c r="FX12" s="83">
        <f t="shared" si="12"/>
        <v>0</v>
      </c>
      <c r="FY12" s="83">
        <f t="shared" si="12"/>
        <v>0</v>
      </c>
      <c r="FZ12" s="83">
        <f t="shared" si="12"/>
        <v>0</v>
      </c>
      <c r="GA12" s="83">
        <f t="shared" si="12"/>
        <v>0</v>
      </c>
      <c r="GB12" s="83">
        <f t="shared" si="12"/>
        <v>0</v>
      </c>
      <c r="GC12" s="83">
        <f t="shared" si="12"/>
        <v>-42101.845493562229</v>
      </c>
      <c r="GD12" s="83">
        <f t="shared" si="12"/>
        <v>-90218.240343347643</v>
      </c>
      <c r="GE12" s="83">
        <f t="shared" si="12"/>
        <v>-93225.515021459229</v>
      </c>
      <c r="GF12" s="83">
        <f t="shared" si="12"/>
        <v>-93225.515021459229</v>
      </c>
      <c r="GG12" s="83">
        <f t="shared" si="12"/>
        <v>-87210.965665236057</v>
      </c>
      <c r="GH12" s="83">
        <f t="shared" si="12"/>
        <v>-93225.515021459229</v>
      </c>
      <c r="GI12" s="83">
        <f t="shared" si="12"/>
        <v>-39094.570815450643</v>
      </c>
      <c r="GJ12" s="83">
        <f t="shared" si="12"/>
        <v>0</v>
      </c>
      <c r="GK12" s="83">
        <f t="shared" si="12"/>
        <v>0</v>
      </c>
      <c r="GL12" s="83">
        <f t="shared" ref="GL12:IG12" si="13">GL5+GL6+GL9</f>
        <v>0</v>
      </c>
      <c r="GM12" s="83">
        <f t="shared" si="13"/>
        <v>0</v>
      </c>
      <c r="GN12" s="83">
        <f t="shared" si="13"/>
        <v>0</v>
      </c>
      <c r="GO12" s="83">
        <f t="shared" si="13"/>
        <v>-42101.845493562229</v>
      </c>
      <c r="GP12" s="83">
        <f t="shared" si="13"/>
        <v>-90218.240343347643</v>
      </c>
      <c r="GQ12" s="83">
        <f t="shared" si="13"/>
        <v>-93225.515021459229</v>
      </c>
      <c r="GR12" s="83">
        <f t="shared" si="13"/>
        <v>-93225.515021459229</v>
      </c>
      <c r="GS12" s="83">
        <f t="shared" si="13"/>
        <v>-87210.965665236057</v>
      </c>
      <c r="GT12" s="83">
        <f t="shared" si="13"/>
        <v>-93225.515021459229</v>
      </c>
      <c r="GU12" s="83">
        <f t="shared" si="13"/>
        <v>-39094.570815450643</v>
      </c>
      <c r="GV12" s="83">
        <f t="shared" si="13"/>
        <v>0</v>
      </c>
      <c r="GW12" s="83">
        <f t="shared" si="13"/>
        <v>0</v>
      </c>
      <c r="GX12" s="83">
        <f t="shared" si="13"/>
        <v>0</v>
      </c>
      <c r="GY12" s="83">
        <f t="shared" si="13"/>
        <v>0</v>
      </c>
      <c r="GZ12" s="83">
        <f t="shared" si="13"/>
        <v>0</v>
      </c>
      <c r="HA12" s="83">
        <f t="shared" si="13"/>
        <v>-42101.845493562229</v>
      </c>
      <c r="HB12" s="83">
        <f t="shared" si="13"/>
        <v>-90218.240343347643</v>
      </c>
      <c r="HC12" s="83">
        <f t="shared" si="13"/>
        <v>-93225.515021459229</v>
      </c>
      <c r="HD12" s="83">
        <f t="shared" si="13"/>
        <v>-93225.515021459229</v>
      </c>
      <c r="HE12" s="83">
        <f t="shared" si="13"/>
        <v>-87210.965665236057</v>
      </c>
      <c r="HF12" s="83">
        <f t="shared" si="13"/>
        <v>-93225.515021459229</v>
      </c>
      <c r="HG12" s="83">
        <f t="shared" si="13"/>
        <v>-39094.570815450643</v>
      </c>
      <c r="HH12" s="83">
        <f t="shared" si="13"/>
        <v>0</v>
      </c>
      <c r="HI12" s="83">
        <f t="shared" si="13"/>
        <v>0</v>
      </c>
      <c r="HJ12" s="83">
        <f t="shared" si="13"/>
        <v>0</v>
      </c>
      <c r="HK12" s="83">
        <f t="shared" si="13"/>
        <v>0</v>
      </c>
      <c r="HL12" s="83">
        <f t="shared" si="13"/>
        <v>0</v>
      </c>
      <c r="HM12" s="83">
        <f t="shared" si="13"/>
        <v>-42101.845493562229</v>
      </c>
      <c r="HN12" s="83">
        <f t="shared" si="13"/>
        <v>-90218.240343347643</v>
      </c>
      <c r="HO12" s="83">
        <f t="shared" si="13"/>
        <v>-93225.515021459229</v>
      </c>
      <c r="HP12" s="83">
        <f t="shared" si="13"/>
        <v>-93225.515021459229</v>
      </c>
      <c r="HQ12" s="83">
        <f t="shared" si="13"/>
        <v>-87210.965665236057</v>
      </c>
      <c r="HR12" s="83">
        <f t="shared" si="13"/>
        <v>-93225.515021459229</v>
      </c>
      <c r="HS12" s="83">
        <f t="shared" si="13"/>
        <v>-39094.570815450643</v>
      </c>
      <c r="HT12" s="83">
        <f t="shared" si="13"/>
        <v>0</v>
      </c>
      <c r="HU12" s="83">
        <f t="shared" si="13"/>
        <v>0</v>
      </c>
      <c r="HV12" s="83">
        <f t="shared" si="13"/>
        <v>0</v>
      </c>
      <c r="HW12" s="83">
        <f t="shared" si="13"/>
        <v>0</v>
      </c>
      <c r="HX12" s="83">
        <f t="shared" si="13"/>
        <v>0</v>
      </c>
      <c r="HY12" s="83">
        <f t="shared" si="13"/>
        <v>-42101.845493562229</v>
      </c>
      <c r="HZ12" s="83">
        <f t="shared" si="13"/>
        <v>-90218.240343347643</v>
      </c>
      <c r="IA12" s="83">
        <f t="shared" si="13"/>
        <v>-93225.515021459229</v>
      </c>
      <c r="IB12" s="83">
        <f t="shared" si="13"/>
        <v>-93225.515021459229</v>
      </c>
      <c r="IC12" s="83">
        <f t="shared" si="13"/>
        <v>-87210.965665236057</v>
      </c>
      <c r="ID12" s="83">
        <f t="shared" si="13"/>
        <v>-93225.515021459229</v>
      </c>
      <c r="IE12" s="83">
        <f t="shared" si="13"/>
        <v>-39094.570815450643</v>
      </c>
      <c r="IF12" s="83">
        <f t="shared" si="13"/>
        <v>0</v>
      </c>
      <c r="IG12" s="83">
        <f t="shared" si="13"/>
        <v>0</v>
      </c>
    </row>
    <row r="13" spans="1:247" ht="30" x14ac:dyDescent="0.25">
      <c r="A13" s="94" t="s">
        <v>328</v>
      </c>
      <c r="B13" s="83">
        <f>B5+B6+B10+B11</f>
        <v>0</v>
      </c>
      <c r="C13" s="83">
        <f t="shared" ref="C13:BN13" si="14">C5+C6+C10+C11</f>
        <v>1074.2148559999996</v>
      </c>
      <c r="D13" s="83">
        <f t="shared" si="14"/>
        <v>1074.2148559999996</v>
      </c>
      <c r="E13" s="83">
        <f t="shared" si="14"/>
        <v>-132581.86657669966</v>
      </c>
      <c r="F13" s="83">
        <f t="shared" si="14"/>
        <v>-107477.66056811597</v>
      </c>
      <c r="G13" s="83">
        <f t="shared" si="14"/>
        <v>-105908.64769257951</v>
      </c>
      <c r="H13" s="83">
        <f t="shared" si="14"/>
        <v>-105371.54026457953</v>
      </c>
      <c r="I13" s="83">
        <f t="shared" si="14"/>
        <v>-108509.56601565247</v>
      </c>
      <c r="J13" s="83">
        <f t="shared" si="14"/>
        <v>-105371.54026457953</v>
      </c>
      <c r="K13" s="83">
        <f t="shared" si="14"/>
        <v>-133613.77202423615</v>
      </c>
      <c r="L13" s="83">
        <f t="shared" si="14"/>
        <v>-154010.93940621041</v>
      </c>
      <c r="M13" s="83">
        <f t="shared" si="14"/>
        <v>-154010.93940621041</v>
      </c>
      <c r="N13" s="83">
        <f t="shared" si="14"/>
        <v>-154010.93940621041</v>
      </c>
      <c r="O13" s="83">
        <f t="shared" si="14"/>
        <v>-154010.93940621041</v>
      </c>
      <c r="P13" s="83">
        <f t="shared" si="14"/>
        <v>-154010.93940621041</v>
      </c>
      <c r="Q13" s="83">
        <f t="shared" si="14"/>
        <v>-121061.66901994431</v>
      </c>
      <c r="R13" s="83">
        <f t="shared" si="14"/>
        <v>-83405.360007068783</v>
      </c>
      <c r="S13" s="83">
        <f t="shared" si="14"/>
        <v>-81051.840693764068</v>
      </c>
      <c r="T13" s="83">
        <f t="shared" si="14"/>
        <v>-80246.179551764057</v>
      </c>
      <c r="U13" s="83">
        <f t="shared" si="14"/>
        <v>-87306.737491678199</v>
      </c>
      <c r="V13" s="83">
        <f t="shared" si="14"/>
        <v>-80246.179551764057</v>
      </c>
      <c r="W13" s="83">
        <f t="shared" si="14"/>
        <v>-120256.0078779443</v>
      </c>
      <c r="X13" s="83">
        <f t="shared" si="14"/>
        <v>-153205.27826421041</v>
      </c>
      <c r="Y13" s="83">
        <f t="shared" si="14"/>
        <v>-153205.27826421041</v>
      </c>
      <c r="Z13" s="83">
        <f t="shared" si="14"/>
        <v>-153205.27826421041</v>
      </c>
      <c r="AA13" s="83">
        <f t="shared" si="14"/>
        <v>-153205.27826421041</v>
      </c>
      <c r="AB13" s="83">
        <f t="shared" si="14"/>
        <v>-153205.27826421041</v>
      </c>
      <c r="AC13" s="83">
        <f t="shared" si="14"/>
        <v>-103781.37268481126</v>
      </c>
      <c r="AD13" s="83">
        <f t="shared" si="14"/>
        <v>-47296.909165497964</v>
      </c>
      <c r="AE13" s="83">
        <f t="shared" si="14"/>
        <v>-43766.630195540893</v>
      </c>
      <c r="AF13" s="83">
        <f t="shared" si="14"/>
        <v>-43766.630195540893</v>
      </c>
      <c r="AG13" s="83">
        <f t="shared" si="14"/>
        <v>-54357.467105412121</v>
      </c>
      <c r="AH13" s="83">
        <f t="shared" si="14"/>
        <v>-43766.630195540893</v>
      </c>
      <c r="AI13" s="83">
        <f t="shared" si="14"/>
        <v>-103781.37268481126</v>
      </c>
      <c r="AJ13" s="83">
        <f t="shared" si="14"/>
        <v>-153205.27826421041</v>
      </c>
      <c r="AK13" s="83">
        <f t="shared" si="14"/>
        <v>-153205.27826421041</v>
      </c>
      <c r="AL13" s="83">
        <f t="shared" si="14"/>
        <v>-153205.27826421041</v>
      </c>
      <c r="AM13" s="83">
        <f t="shared" si="14"/>
        <v>-153205.27826421041</v>
      </c>
      <c r="AN13" s="83">
        <f t="shared" si="14"/>
        <v>-153205.27826421041</v>
      </c>
      <c r="AO13" s="83">
        <f t="shared" si="14"/>
        <v>-103781.37268481126</v>
      </c>
      <c r="AP13" s="83">
        <f t="shared" si="14"/>
        <v>-47296.909165497964</v>
      </c>
      <c r="AQ13" s="83">
        <f t="shared" si="14"/>
        <v>-43766.630195540893</v>
      </c>
      <c r="AR13" s="83">
        <f t="shared" si="14"/>
        <v>-43766.630195540893</v>
      </c>
      <c r="AS13" s="83">
        <f t="shared" si="14"/>
        <v>-54357.467105412121</v>
      </c>
      <c r="AT13" s="83">
        <f t="shared" si="14"/>
        <v>-43766.630195540893</v>
      </c>
      <c r="AU13" s="83">
        <f t="shared" si="14"/>
        <v>-103781.37268481126</v>
      </c>
      <c r="AV13" s="83">
        <f t="shared" si="14"/>
        <v>-153205.27826421041</v>
      </c>
      <c r="AW13" s="83">
        <f t="shared" si="14"/>
        <v>-153205.27826421041</v>
      </c>
      <c r="AX13" s="83">
        <f t="shared" si="14"/>
        <v>-153205.27826421041</v>
      </c>
      <c r="AY13" s="83">
        <f t="shared" si="14"/>
        <v>-153205.27826421041</v>
      </c>
      <c r="AZ13" s="83">
        <f t="shared" si="14"/>
        <v>-153205.27826421041</v>
      </c>
      <c r="BA13" s="83">
        <f t="shared" si="14"/>
        <v>-103781.37268481126</v>
      </c>
      <c r="BB13" s="83">
        <f t="shared" si="14"/>
        <v>-47296.909165497964</v>
      </c>
      <c r="BC13" s="83">
        <f t="shared" si="14"/>
        <v>-43766.630195540893</v>
      </c>
      <c r="BD13" s="83">
        <f t="shared" si="14"/>
        <v>-43766.630195540893</v>
      </c>
      <c r="BE13" s="83">
        <f t="shared" si="14"/>
        <v>-50827.188135455064</v>
      </c>
      <c r="BF13" s="83">
        <f t="shared" si="14"/>
        <v>-43766.630195540893</v>
      </c>
      <c r="BG13" s="83">
        <f t="shared" si="14"/>
        <v>-107311.65165476834</v>
      </c>
      <c r="BH13" s="83">
        <f t="shared" si="14"/>
        <v>-153205.27826421041</v>
      </c>
      <c r="BI13" s="83">
        <f t="shared" si="14"/>
        <v>-153205.27826421041</v>
      </c>
      <c r="BJ13" s="83">
        <f t="shared" si="14"/>
        <v>-153205.27826421041</v>
      </c>
      <c r="BK13" s="83">
        <f t="shared" si="14"/>
        <v>-153205.27826421041</v>
      </c>
      <c r="BL13" s="83">
        <f t="shared" si="14"/>
        <v>-153205.27826421041</v>
      </c>
      <c r="BM13" s="83">
        <f t="shared" si="14"/>
        <v>51840.889005399142</v>
      </c>
      <c r="BN13" s="83">
        <f t="shared" si="14"/>
        <v>108325.35252471245</v>
      </c>
      <c r="BO13" s="83">
        <f t="shared" ref="BO13:DZ13" si="15">BO5+BO6+BO10+BO11</f>
        <v>111855.63149466952</v>
      </c>
      <c r="BP13" s="83">
        <f t="shared" si="15"/>
        <v>111855.63149466952</v>
      </c>
      <c r="BQ13" s="83">
        <f t="shared" si="15"/>
        <v>104795.07355475535</v>
      </c>
      <c r="BR13" s="83">
        <f t="shared" si="15"/>
        <v>111855.63149466952</v>
      </c>
      <c r="BS13" s="83">
        <f t="shared" si="15"/>
        <v>48310.610035442056</v>
      </c>
      <c r="BT13" s="83">
        <f t="shared" si="15"/>
        <v>2416.9834259999993</v>
      </c>
      <c r="BU13" s="83">
        <f t="shared" si="15"/>
        <v>2416.9834259999993</v>
      </c>
      <c r="BV13" s="83">
        <f t="shared" si="15"/>
        <v>2416.9834259999993</v>
      </c>
      <c r="BW13" s="83">
        <f t="shared" si="15"/>
        <v>2416.9834259999993</v>
      </c>
      <c r="BX13" s="83">
        <f t="shared" si="15"/>
        <v>2416.9834259999993</v>
      </c>
      <c r="BY13" s="83">
        <f t="shared" si="15"/>
        <v>51840.889005399142</v>
      </c>
      <c r="BZ13" s="83">
        <f t="shared" si="15"/>
        <v>108325.35252471245</v>
      </c>
      <c r="CA13" s="83">
        <f t="shared" si="15"/>
        <v>111855.63149466952</v>
      </c>
      <c r="CB13" s="83">
        <f t="shared" si="15"/>
        <v>111855.63149466952</v>
      </c>
      <c r="CC13" s="83">
        <f t="shared" si="15"/>
        <v>104795.07355475535</v>
      </c>
      <c r="CD13" s="83">
        <f t="shared" si="15"/>
        <v>111855.63149466952</v>
      </c>
      <c r="CE13" s="83">
        <f t="shared" si="15"/>
        <v>48310.610035442056</v>
      </c>
      <c r="CF13" s="83">
        <f t="shared" si="15"/>
        <v>2416.9834259999993</v>
      </c>
      <c r="CG13" s="83">
        <f t="shared" si="15"/>
        <v>2416.9834259999993</v>
      </c>
      <c r="CH13" s="83">
        <f t="shared" si="15"/>
        <v>2416.9834259999993</v>
      </c>
      <c r="CI13" s="83">
        <f t="shared" si="15"/>
        <v>2416.9834259999993</v>
      </c>
      <c r="CJ13" s="83">
        <f t="shared" si="15"/>
        <v>2416.9834259999993</v>
      </c>
      <c r="CK13" s="83">
        <f t="shared" si="15"/>
        <v>51840.889005399142</v>
      </c>
      <c r="CL13" s="83">
        <f t="shared" si="15"/>
        <v>108325.35252471245</v>
      </c>
      <c r="CM13" s="83">
        <f t="shared" si="15"/>
        <v>111855.63149466952</v>
      </c>
      <c r="CN13" s="83">
        <f t="shared" si="15"/>
        <v>111855.63149466952</v>
      </c>
      <c r="CO13" s="83">
        <f t="shared" si="15"/>
        <v>104795.07355475535</v>
      </c>
      <c r="CP13" s="83">
        <f t="shared" si="15"/>
        <v>111855.63149466952</v>
      </c>
      <c r="CQ13" s="83">
        <f t="shared" si="15"/>
        <v>48310.610035442056</v>
      </c>
      <c r="CR13" s="83">
        <f t="shared" si="15"/>
        <v>2416.9834259999993</v>
      </c>
      <c r="CS13" s="83">
        <f t="shared" si="15"/>
        <v>2416.9834259999993</v>
      </c>
      <c r="CT13" s="83">
        <f t="shared" si="15"/>
        <v>2416.9834259999993</v>
      </c>
      <c r="CU13" s="83">
        <f t="shared" si="15"/>
        <v>2416.9834259999993</v>
      </c>
      <c r="CV13" s="83">
        <f t="shared" si="15"/>
        <v>2416.9834259999993</v>
      </c>
      <c r="CW13" s="83">
        <f t="shared" si="15"/>
        <v>51840.889005399142</v>
      </c>
      <c r="CX13" s="83">
        <f t="shared" si="15"/>
        <v>108325.35252471245</v>
      </c>
      <c r="CY13" s="83">
        <f t="shared" si="15"/>
        <v>111855.63149466952</v>
      </c>
      <c r="CZ13" s="83">
        <f t="shared" si="15"/>
        <v>111855.63149466952</v>
      </c>
      <c r="DA13" s="83">
        <f t="shared" si="15"/>
        <v>104795.07355475535</v>
      </c>
      <c r="DB13" s="83">
        <f t="shared" si="15"/>
        <v>111855.63149466952</v>
      </c>
      <c r="DC13" s="83">
        <f t="shared" si="15"/>
        <v>48310.610035442056</v>
      </c>
      <c r="DD13" s="83">
        <f t="shared" si="15"/>
        <v>2416.9834259999993</v>
      </c>
      <c r="DE13" s="83">
        <f t="shared" si="15"/>
        <v>2416.9834259999993</v>
      </c>
      <c r="DF13" s="83">
        <f t="shared" si="15"/>
        <v>2416.9834259999993</v>
      </c>
      <c r="DG13" s="83">
        <f t="shared" si="15"/>
        <v>2416.9834259999993</v>
      </c>
      <c r="DH13" s="83">
        <f t="shared" si="15"/>
        <v>2416.9834259999993</v>
      </c>
      <c r="DI13" s="83">
        <f t="shared" si="15"/>
        <v>51840.889005399142</v>
      </c>
      <c r="DJ13" s="83">
        <f t="shared" si="15"/>
        <v>108325.35252471245</v>
      </c>
      <c r="DK13" s="83">
        <f t="shared" si="15"/>
        <v>111855.63149466952</v>
      </c>
      <c r="DL13" s="83">
        <f t="shared" si="15"/>
        <v>111855.63149466952</v>
      </c>
      <c r="DM13" s="83">
        <f t="shared" si="15"/>
        <v>104795.07355475535</v>
      </c>
      <c r="DN13" s="83">
        <f t="shared" si="15"/>
        <v>111855.63149466952</v>
      </c>
      <c r="DO13" s="83">
        <f t="shared" si="15"/>
        <v>48310.610035442056</v>
      </c>
      <c r="DP13" s="83">
        <f t="shared" si="15"/>
        <v>2416.9834259999993</v>
      </c>
      <c r="DQ13" s="83">
        <f t="shared" si="15"/>
        <v>2416.9834259999993</v>
      </c>
      <c r="DR13" s="83">
        <f t="shared" si="15"/>
        <v>2416.9834259999993</v>
      </c>
      <c r="DS13" s="83">
        <f t="shared" si="15"/>
        <v>2416.9834259999993</v>
      </c>
      <c r="DT13" s="83">
        <f t="shared" si="15"/>
        <v>2416.9834259999993</v>
      </c>
      <c r="DU13" s="83">
        <f t="shared" si="15"/>
        <v>51840.889005399142</v>
      </c>
      <c r="DV13" s="83">
        <f t="shared" si="15"/>
        <v>108325.35252471245</v>
      </c>
      <c r="DW13" s="83">
        <f t="shared" si="15"/>
        <v>111855.63149466952</v>
      </c>
      <c r="DX13" s="83">
        <f t="shared" si="15"/>
        <v>111855.63149466952</v>
      </c>
      <c r="DY13" s="83">
        <f t="shared" si="15"/>
        <v>104795.07355475535</v>
      </c>
      <c r="DZ13" s="83">
        <f t="shared" si="15"/>
        <v>111855.63149466952</v>
      </c>
      <c r="EA13" s="83">
        <f t="shared" ref="EA13:GL13" si="16">EA5+EA6+EA10+EA11</f>
        <v>48310.610035442056</v>
      </c>
      <c r="EB13" s="83">
        <f t="shared" si="16"/>
        <v>2416.9834259999993</v>
      </c>
      <c r="EC13" s="83">
        <f t="shared" si="16"/>
        <v>2416.9834259999993</v>
      </c>
      <c r="ED13" s="83">
        <f t="shared" si="16"/>
        <v>2416.9834259999993</v>
      </c>
      <c r="EE13" s="83">
        <f t="shared" si="16"/>
        <v>2416.9834259999993</v>
      </c>
      <c r="EF13" s="83">
        <f t="shared" si="16"/>
        <v>2416.9834259999993</v>
      </c>
      <c r="EG13" s="83">
        <f t="shared" si="16"/>
        <v>51840.889005399142</v>
      </c>
      <c r="EH13" s="83">
        <f t="shared" si="16"/>
        <v>108325.35252471245</v>
      </c>
      <c r="EI13" s="83">
        <f t="shared" si="16"/>
        <v>111855.63149466952</v>
      </c>
      <c r="EJ13" s="83">
        <f t="shared" si="16"/>
        <v>111855.63149466952</v>
      </c>
      <c r="EK13" s="83">
        <f t="shared" si="16"/>
        <v>104795.07355475535</v>
      </c>
      <c r="EL13" s="83">
        <f t="shared" si="16"/>
        <v>111855.63149466952</v>
      </c>
      <c r="EM13" s="83">
        <f t="shared" si="16"/>
        <v>48310.610035442056</v>
      </c>
      <c r="EN13" s="83">
        <f t="shared" si="16"/>
        <v>2416.9834259999993</v>
      </c>
      <c r="EO13" s="83">
        <f t="shared" si="16"/>
        <v>2416.9834259999993</v>
      </c>
      <c r="EP13" s="83">
        <f t="shared" si="16"/>
        <v>2416.9834259999993</v>
      </c>
      <c r="EQ13" s="83">
        <f t="shared" si="16"/>
        <v>2416.9834259999993</v>
      </c>
      <c r="ER13" s="83">
        <f t="shared" si="16"/>
        <v>2416.9834259999993</v>
      </c>
      <c r="ES13" s="83">
        <f t="shared" si="16"/>
        <v>51840.889005399142</v>
      </c>
      <c r="ET13" s="83">
        <f t="shared" si="16"/>
        <v>108325.35252471245</v>
      </c>
      <c r="EU13" s="83">
        <f t="shared" si="16"/>
        <v>111855.63149466952</v>
      </c>
      <c r="EV13" s="83">
        <f t="shared" si="16"/>
        <v>111855.63149466952</v>
      </c>
      <c r="EW13" s="83">
        <f t="shared" si="16"/>
        <v>104795.07355475535</v>
      </c>
      <c r="EX13" s="83">
        <f t="shared" si="16"/>
        <v>111855.63149466952</v>
      </c>
      <c r="EY13" s="83">
        <f t="shared" si="16"/>
        <v>48310.610035442056</v>
      </c>
      <c r="EZ13" s="83">
        <f t="shared" si="16"/>
        <v>2416.9834259999993</v>
      </c>
      <c r="FA13" s="83">
        <f t="shared" si="16"/>
        <v>2416.9834259999993</v>
      </c>
      <c r="FB13" s="83">
        <f t="shared" si="16"/>
        <v>2416.9834259999993</v>
      </c>
      <c r="FC13" s="83">
        <f t="shared" si="16"/>
        <v>2416.9834259999993</v>
      </c>
      <c r="FD13" s="83">
        <f t="shared" si="16"/>
        <v>2416.9834259999993</v>
      </c>
      <c r="FE13" s="83">
        <f t="shared" si="16"/>
        <v>51840.889005399142</v>
      </c>
      <c r="FF13" s="83">
        <f t="shared" si="16"/>
        <v>108325.35252471245</v>
      </c>
      <c r="FG13" s="83">
        <f t="shared" si="16"/>
        <v>111855.63149466952</v>
      </c>
      <c r="FH13" s="83">
        <f t="shared" si="16"/>
        <v>111855.63149466952</v>
      </c>
      <c r="FI13" s="83">
        <f t="shared" si="16"/>
        <v>104795.07355475535</v>
      </c>
      <c r="FJ13" s="83">
        <f t="shared" si="16"/>
        <v>111855.63149466952</v>
      </c>
      <c r="FK13" s="83">
        <f t="shared" si="16"/>
        <v>48310.610035442056</v>
      </c>
      <c r="FL13" s="83">
        <f t="shared" si="16"/>
        <v>2416.9834259999993</v>
      </c>
      <c r="FM13" s="83">
        <f t="shared" si="16"/>
        <v>2416.9834259999993</v>
      </c>
      <c r="FN13" s="83">
        <f t="shared" si="16"/>
        <v>2416.9834259999993</v>
      </c>
      <c r="FO13" s="83">
        <f t="shared" si="16"/>
        <v>2416.9834259999993</v>
      </c>
      <c r="FP13" s="83">
        <f t="shared" si="16"/>
        <v>2416.9834259999993</v>
      </c>
      <c r="FQ13" s="83">
        <f t="shared" si="16"/>
        <v>51840.889005399142</v>
      </c>
      <c r="FR13" s="83">
        <f t="shared" si="16"/>
        <v>108325.35252471245</v>
      </c>
      <c r="FS13" s="83">
        <f t="shared" si="16"/>
        <v>111855.63149466952</v>
      </c>
      <c r="FT13" s="83">
        <f t="shared" si="16"/>
        <v>111855.63149466952</v>
      </c>
      <c r="FU13" s="83">
        <f t="shared" si="16"/>
        <v>104795.07355475535</v>
      </c>
      <c r="FV13" s="83">
        <f t="shared" si="16"/>
        <v>111855.63149466952</v>
      </c>
      <c r="FW13" s="83">
        <f t="shared" si="16"/>
        <v>48310.610035442056</v>
      </c>
      <c r="FX13" s="83">
        <f t="shared" si="16"/>
        <v>2416.9834259999993</v>
      </c>
      <c r="FY13" s="83">
        <f t="shared" si="16"/>
        <v>2416.9834259999993</v>
      </c>
      <c r="FZ13" s="83">
        <f t="shared" si="16"/>
        <v>2416.9834259999993</v>
      </c>
      <c r="GA13" s="83">
        <f t="shared" si="16"/>
        <v>2416.9834259999993</v>
      </c>
      <c r="GB13" s="83">
        <f t="shared" si="16"/>
        <v>2416.9834259999993</v>
      </c>
      <c r="GC13" s="83">
        <f t="shared" si="16"/>
        <v>51840.889005399142</v>
      </c>
      <c r="GD13" s="83">
        <f t="shared" si="16"/>
        <v>108325.35252471245</v>
      </c>
      <c r="GE13" s="83">
        <f t="shared" si="16"/>
        <v>111855.63149466952</v>
      </c>
      <c r="GF13" s="83">
        <f t="shared" si="16"/>
        <v>111855.63149466952</v>
      </c>
      <c r="GG13" s="83">
        <f t="shared" si="16"/>
        <v>104795.07355475535</v>
      </c>
      <c r="GH13" s="83">
        <f t="shared" si="16"/>
        <v>111855.63149466952</v>
      </c>
      <c r="GI13" s="83">
        <f t="shared" si="16"/>
        <v>48310.610035442056</v>
      </c>
      <c r="GJ13" s="83">
        <f t="shared" si="16"/>
        <v>2416.9834259999993</v>
      </c>
      <c r="GK13" s="83">
        <f t="shared" si="16"/>
        <v>2416.9834259999993</v>
      </c>
      <c r="GL13" s="83">
        <f t="shared" si="16"/>
        <v>2416.9834259999993</v>
      </c>
      <c r="GM13" s="83">
        <f t="shared" ref="GM13:IG13" si="17">GM5+GM6+GM10+GM11</f>
        <v>2416.9834259999993</v>
      </c>
      <c r="GN13" s="83">
        <f t="shared" si="17"/>
        <v>2416.9834259999993</v>
      </c>
      <c r="GO13" s="83">
        <f t="shared" si="17"/>
        <v>51840.889005399142</v>
      </c>
      <c r="GP13" s="83">
        <f t="shared" si="17"/>
        <v>108325.35252471245</v>
      </c>
      <c r="GQ13" s="83">
        <f t="shared" si="17"/>
        <v>111855.63149466952</v>
      </c>
      <c r="GR13" s="83">
        <f t="shared" si="17"/>
        <v>111855.63149466952</v>
      </c>
      <c r="GS13" s="83">
        <f t="shared" si="17"/>
        <v>104795.07355475535</v>
      </c>
      <c r="GT13" s="83">
        <f t="shared" si="17"/>
        <v>111855.63149466952</v>
      </c>
      <c r="GU13" s="83">
        <f t="shared" si="17"/>
        <v>48310.610035442056</v>
      </c>
      <c r="GV13" s="83">
        <f t="shared" si="17"/>
        <v>2416.9834259999993</v>
      </c>
      <c r="GW13" s="83">
        <f t="shared" si="17"/>
        <v>2416.9834259999993</v>
      </c>
      <c r="GX13" s="83">
        <f t="shared" si="17"/>
        <v>2416.9834259999993</v>
      </c>
      <c r="GY13" s="83">
        <f t="shared" si="17"/>
        <v>2416.9834259999993</v>
      </c>
      <c r="GZ13" s="83">
        <f t="shared" si="17"/>
        <v>2416.9834259999993</v>
      </c>
      <c r="HA13" s="83">
        <f t="shared" si="17"/>
        <v>51840.889005399142</v>
      </c>
      <c r="HB13" s="83">
        <f t="shared" si="17"/>
        <v>108325.35252471245</v>
      </c>
      <c r="HC13" s="83">
        <f t="shared" si="17"/>
        <v>111855.63149466952</v>
      </c>
      <c r="HD13" s="83">
        <f t="shared" si="17"/>
        <v>111855.63149466952</v>
      </c>
      <c r="HE13" s="83">
        <f t="shared" si="17"/>
        <v>104795.07355475535</v>
      </c>
      <c r="HF13" s="83">
        <f t="shared" si="17"/>
        <v>111855.63149466952</v>
      </c>
      <c r="HG13" s="83">
        <f t="shared" si="17"/>
        <v>48310.610035442056</v>
      </c>
      <c r="HH13" s="83">
        <f t="shared" si="17"/>
        <v>2416.9834259999993</v>
      </c>
      <c r="HI13" s="83">
        <f t="shared" si="17"/>
        <v>2416.9834259999993</v>
      </c>
      <c r="HJ13" s="83">
        <f t="shared" si="17"/>
        <v>2416.9834259999993</v>
      </c>
      <c r="HK13" s="83">
        <f t="shared" si="17"/>
        <v>2416.9834259999993</v>
      </c>
      <c r="HL13" s="83">
        <f t="shared" si="17"/>
        <v>2416.9834259999993</v>
      </c>
      <c r="HM13" s="83">
        <f t="shared" si="17"/>
        <v>51840.889005399142</v>
      </c>
      <c r="HN13" s="83">
        <f t="shared" si="17"/>
        <v>108325.35252471245</v>
      </c>
      <c r="HO13" s="83">
        <f t="shared" si="17"/>
        <v>111855.63149466952</v>
      </c>
      <c r="HP13" s="83">
        <f t="shared" si="17"/>
        <v>111855.63149466952</v>
      </c>
      <c r="HQ13" s="83">
        <f t="shared" si="17"/>
        <v>104795.07355475535</v>
      </c>
      <c r="HR13" s="83">
        <f t="shared" si="17"/>
        <v>111855.63149466952</v>
      </c>
      <c r="HS13" s="83">
        <f t="shared" si="17"/>
        <v>48310.610035442056</v>
      </c>
      <c r="HT13" s="83">
        <f t="shared" si="17"/>
        <v>2416.9834259999993</v>
      </c>
      <c r="HU13" s="83">
        <f t="shared" si="17"/>
        <v>2416.9834259999993</v>
      </c>
      <c r="HV13" s="83">
        <f t="shared" si="17"/>
        <v>2416.9834259999993</v>
      </c>
      <c r="HW13" s="83">
        <f t="shared" si="17"/>
        <v>2416.9834259999993</v>
      </c>
      <c r="HX13" s="83">
        <f t="shared" si="17"/>
        <v>2416.9834259999993</v>
      </c>
      <c r="HY13" s="83">
        <f t="shared" si="17"/>
        <v>51840.889005399142</v>
      </c>
      <c r="HZ13" s="83">
        <f t="shared" si="17"/>
        <v>108325.35252471245</v>
      </c>
      <c r="IA13" s="83">
        <f t="shared" si="17"/>
        <v>111855.63149466952</v>
      </c>
      <c r="IB13" s="83">
        <f t="shared" si="17"/>
        <v>111855.63149466952</v>
      </c>
      <c r="IC13" s="83">
        <f t="shared" si="17"/>
        <v>104795.07355475535</v>
      </c>
      <c r="ID13" s="83">
        <f t="shared" si="17"/>
        <v>111855.63149466952</v>
      </c>
      <c r="IE13" s="83">
        <f t="shared" si="17"/>
        <v>48310.610035442056</v>
      </c>
      <c r="IF13" s="83">
        <f t="shared" si="17"/>
        <v>2416.9834259999993</v>
      </c>
      <c r="IG13" s="83">
        <f t="shared" si="17"/>
        <v>2416.9834259999993</v>
      </c>
    </row>
    <row r="14" spans="1:247" ht="30" x14ac:dyDescent="0.25">
      <c r="A14" s="94" t="s">
        <v>327</v>
      </c>
      <c r="B14" s="83">
        <f>B13</f>
        <v>0</v>
      </c>
      <c r="C14" s="83">
        <f t="shared" ref="C14:BN14" si="18">B14+C13</f>
        <v>1074.2148559999996</v>
      </c>
      <c r="D14" s="83">
        <f t="shared" si="18"/>
        <v>2148.4297119999992</v>
      </c>
      <c r="E14" s="83">
        <f t="shared" si="18"/>
        <v>-130433.43686469966</v>
      </c>
      <c r="F14" s="83">
        <f t="shared" si="18"/>
        <v>-237911.09743281564</v>
      </c>
      <c r="G14" s="83">
        <f t="shared" si="18"/>
        <v>-343819.74512539513</v>
      </c>
      <c r="H14" s="83">
        <f t="shared" si="18"/>
        <v>-449191.28538997466</v>
      </c>
      <c r="I14" s="83">
        <f t="shared" si="18"/>
        <v>-557700.85140562709</v>
      </c>
      <c r="J14" s="83">
        <f t="shared" si="18"/>
        <v>-663072.39167020656</v>
      </c>
      <c r="K14" s="83">
        <f t="shared" si="18"/>
        <v>-796686.16369444272</v>
      </c>
      <c r="L14" s="83">
        <f t="shared" si="18"/>
        <v>-950697.10310065316</v>
      </c>
      <c r="M14" s="83">
        <f t="shared" si="18"/>
        <v>-1104708.0425068636</v>
      </c>
      <c r="N14" s="83">
        <f t="shared" si="18"/>
        <v>-1258718.9819130739</v>
      </c>
      <c r="O14" s="83">
        <f t="shared" si="18"/>
        <v>-1412729.9213192842</v>
      </c>
      <c r="P14" s="83">
        <f t="shared" si="18"/>
        <v>-1566740.8607254946</v>
      </c>
      <c r="Q14" s="83">
        <f t="shared" si="18"/>
        <v>-1687802.5297454388</v>
      </c>
      <c r="R14" s="83">
        <f t="shared" si="18"/>
        <v>-1771207.8897525077</v>
      </c>
      <c r="S14" s="83">
        <f t="shared" si="18"/>
        <v>-1852259.7304462718</v>
      </c>
      <c r="T14" s="83">
        <f t="shared" si="18"/>
        <v>-1932505.909998036</v>
      </c>
      <c r="U14" s="83">
        <f t="shared" si="18"/>
        <v>-2019812.6474897142</v>
      </c>
      <c r="V14" s="83">
        <f t="shared" si="18"/>
        <v>-2100058.8270414784</v>
      </c>
      <c r="W14" s="83">
        <f t="shared" si="18"/>
        <v>-2220314.8349194229</v>
      </c>
      <c r="X14" s="83">
        <f t="shared" si="18"/>
        <v>-2373520.1131836334</v>
      </c>
      <c r="Y14" s="83">
        <f t="shared" si="18"/>
        <v>-2526725.391447844</v>
      </c>
      <c r="Z14" s="83">
        <f t="shared" si="18"/>
        <v>-2679930.6697120545</v>
      </c>
      <c r="AA14" s="83">
        <f t="shared" si="18"/>
        <v>-2833135.9479762651</v>
      </c>
      <c r="AB14" s="83">
        <f t="shared" si="18"/>
        <v>-2986341.2262404757</v>
      </c>
      <c r="AC14" s="83">
        <f t="shared" si="18"/>
        <v>-3090122.5989252869</v>
      </c>
      <c r="AD14" s="83">
        <f t="shared" si="18"/>
        <v>-3137419.5080907848</v>
      </c>
      <c r="AE14" s="83">
        <f t="shared" si="18"/>
        <v>-3181186.1382863256</v>
      </c>
      <c r="AF14" s="83">
        <f t="shared" si="18"/>
        <v>-3224952.7684818665</v>
      </c>
      <c r="AG14" s="83">
        <f t="shared" si="18"/>
        <v>-3279310.2355872784</v>
      </c>
      <c r="AH14" s="83">
        <f t="shared" si="18"/>
        <v>-3323076.8657828192</v>
      </c>
      <c r="AI14" s="83">
        <f t="shared" si="18"/>
        <v>-3426858.2384676305</v>
      </c>
      <c r="AJ14" s="83">
        <f t="shared" si="18"/>
        <v>-3580063.516731841</v>
      </c>
      <c r="AK14" s="83">
        <f t="shared" si="18"/>
        <v>-3733268.7949960516</v>
      </c>
      <c r="AL14" s="83">
        <f t="shared" si="18"/>
        <v>-3886474.0732602621</v>
      </c>
      <c r="AM14" s="83">
        <f t="shared" si="18"/>
        <v>-4039679.3515244727</v>
      </c>
      <c r="AN14" s="83">
        <f t="shared" si="18"/>
        <v>-4192884.6297886833</v>
      </c>
      <c r="AO14" s="83">
        <f t="shared" si="18"/>
        <v>-4296666.002473495</v>
      </c>
      <c r="AP14" s="83">
        <f t="shared" si="18"/>
        <v>-4343962.9116389928</v>
      </c>
      <c r="AQ14" s="83">
        <f t="shared" si="18"/>
        <v>-4387729.5418345341</v>
      </c>
      <c r="AR14" s="83">
        <f t="shared" si="18"/>
        <v>-4431496.1720300755</v>
      </c>
      <c r="AS14" s="83">
        <f t="shared" si="18"/>
        <v>-4485853.6391354874</v>
      </c>
      <c r="AT14" s="83">
        <f t="shared" si="18"/>
        <v>-4529620.2693310287</v>
      </c>
      <c r="AU14" s="83">
        <f t="shared" si="18"/>
        <v>-4633401.6420158399</v>
      </c>
      <c r="AV14" s="83">
        <f t="shared" si="18"/>
        <v>-4786606.9202800505</v>
      </c>
      <c r="AW14" s="83">
        <f t="shared" si="18"/>
        <v>-4939812.198544261</v>
      </c>
      <c r="AX14" s="83">
        <f t="shared" si="18"/>
        <v>-5093017.4768084716</v>
      </c>
      <c r="AY14" s="83">
        <f t="shared" si="18"/>
        <v>-5246222.7550726822</v>
      </c>
      <c r="AZ14" s="83">
        <f t="shared" si="18"/>
        <v>-5399428.0333368927</v>
      </c>
      <c r="BA14" s="83">
        <f t="shared" si="18"/>
        <v>-5503209.406021704</v>
      </c>
      <c r="BB14" s="83">
        <f t="shared" si="18"/>
        <v>-5550506.3151872018</v>
      </c>
      <c r="BC14" s="83">
        <f t="shared" si="18"/>
        <v>-5594272.9453827431</v>
      </c>
      <c r="BD14" s="83">
        <f t="shared" si="18"/>
        <v>-5638039.5755782844</v>
      </c>
      <c r="BE14" s="83">
        <f t="shared" si="18"/>
        <v>-5688866.7637137398</v>
      </c>
      <c r="BF14" s="83">
        <f t="shared" si="18"/>
        <v>-5732633.3939092811</v>
      </c>
      <c r="BG14" s="83">
        <f t="shared" si="18"/>
        <v>-5839945.0455640499</v>
      </c>
      <c r="BH14" s="83">
        <f t="shared" si="18"/>
        <v>-5993150.3238282604</v>
      </c>
      <c r="BI14" s="83">
        <f t="shared" si="18"/>
        <v>-6146355.602092471</v>
      </c>
      <c r="BJ14" s="83">
        <f t="shared" si="18"/>
        <v>-6299560.8803566815</v>
      </c>
      <c r="BK14" s="83">
        <f t="shared" si="18"/>
        <v>-6452766.1586208921</v>
      </c>
      <c r="BL14" s="83">
        <f t="shared" si="18"/>
        <v>-6605971.4368851027</v>
      </c>
      <c r="BM14" s="83">
        <f t="shared" si="18"/>
        <v>-6554130.5478797033</v>
      </c>
      <c r="BN14" s="83">
        <f t="shared" si="18"/>
        <v>-6445805.1953549907</v>
      </c>
      <c r="BO14" s="83">
        <f t="shared" ref="BO14:DZ14" si="19">BN14+BO13</f>
        <v>-6333949.5638603214</v>
      </c>
      <c r="BP14" s="83">
        <f t="shared" si="19"/>
        <v>-6222093.9323656522</v>
      </c>
      <c r="BQ14" s="83">
        <f t="shared" si="19"/>
        <v>-6117298.858810897</v>
      </c>
      <c r="BR14" s="83">
        <f t="shared" si="19"/>
        <v>-6005443.2273162277</v>
      </c>
      <c r="BS14" s="83">
        <f t="shared" si="19"/>
        <v>-5957132.6172807859</v>
      </c>
      <c r="BT14" s="83">
        <f t="shared" si="19"/>
        <v>-5954715.6338547859</v>
      </c>
      <c r="BU14" s="83">
        <f t="shared" si="19"/>
        <v>-5952298.6504287859</v>
      </c>
      <c r="BV14" s="83">
        <f t="shared" si="19"/>
        <v>-5949881.667002786</v>
      </c>
      <c r="BW14" s="83">
        <f t="shared" si="19"/>
        <v>-5947464.683576786</v>
      </c>
      <c r="BX14" s="83">
        <f t="shared" si="19"/>
        <v>-5945047.700150786</v>
      </c>
      <c r="BY14" s="83">
        <f t="shared" si="19"/>
        <v>-5893206.8111453867</v>
      </c>
      <c r="BZ14" s="83">
        <f t="shared" si="19"/>
        <v>-5784881.458620674</v>
      </c>
      <c r="CA14" s="83">
        <f t="shared" si="19"/>
        <v>-5673025.8271260047</v>
      </c>
      <c r="CB14" s="83">
        <f t="shared" si="19"/>
        <v>-5561170.1956313355</v>
      </c>
      <c r="CC14" s="83">
        <f t="shared" si="19"/>
        <v>-5456375.1220765803</v>
      </c>
      <c r="CD14" s="83">
        <f t="shared" si="19"/>
        <v>-5344519.4905819111</v>
      </c>
      <c r="CE14" s="83">
        <f t="shared" si="19"/>
        <v>-5296208.8805464692</v>
      </c>
      <c r="CF14" s="83">
        <f t="shared" si="19"/>
        <v>-5293791.8971204692</v>
      </c>
      <c r="CG14" s="83">
        <f t="shared" si="19"/>
        <v>-5291374.9136944693</v>
      </c>
      <c r="CH14" s="83">
        <f t="shared" si="19"/>
        <v>-5288957.9302684693</v>
      </c>
      <c r="CI14" s="83">
        <f t="shared" si="19"/>
        <v>-5286540.9468424693</v>
      </c>
      <c r="CJ14" s="83">
        <f t="shared" si="19"/>
        <v>-5284123.9634164693</v>
      </c>
      <c r="CK14" s="83">
        <f t="shared" si="19"/>
        <v>-5232283.07441107</v>
      </c>
      <c r="CL14" s="83">
        <f t="shared" si="19"/>
        <v>-5123957.7218863573</v>
      </c>
      <c r="CM14" s="83">
        <f t="shared" si="19"/>
        <v>-5012102.090391688</v>
      </c>
      <c r="CN14" s="83">
        <f t="shared" si="19"/>
        <v>-4900246.4588970188</v>
      </c>
      <c r="CO14" s="83">
        <f t="shared" si="19"/>
        <v>-4795451.3853422636</v>
      </c>
      <c r="CP14" s="83">
        <f t="shared" si="19"/>
        <v>-4683595.7538475944</v>
      </c>
      <c r="CQ14" s="83">
        <f t="shared" si="19"/>
        <v>-4635285.1438121526</v>
      </c>
      <c r="CR14" s="83">
        <f t="shared" si="19"/>
        <v>-4632868.1603861526</v>
      </c>
      <c r="CS14" s="83">
        <f t="shared" si="19"/>
        <v>-4630451.1769601526</v>
      </c>
      <c r="CT14" s="83">
        <f t="shared" si="19"/>
        <v>-4628034.1935341526</v>
      </c>
      <c r="CU14" s="83">
        <f t="shared" si="19"/>
        <v>-4625617.2101081526</v>
      </c>
      <c r="CV14" s="83">
        <f t="shared" si="19"/>
        <v>-4623200.2266821526</v>
      </c>
      <c r="CW14" s="83">
        <f t="shared" si="19"/>
        <v>-4571359.3376767533</v>
      </c>
      <c r="CX14" s="83">
        <f t="shared" si="19"/>
        <v>-4463033.9851520406</v>
      </c>
      <c r="CY14" s="83">
        <f t="shared" si="19"/>
        <v>-4351178.3536573714</v>
      </c>
      <c r="CZ14" s="83">
        <f t="shared" si="19"/>
        <v>-4239322.7221627021</v>
      </c>
      <c r="DA14" s="83">
        <f t="shared" si="19"/>
        <v>-4134527.6486079469</v>
      </c>
      <c r="DB14" s="83">
        <f t="shared" si="19"/>
        <v>-4022672.0171132772</v>
      </c>
      <c r="DC14" s="83">
        <f t="shared" si="19"/>
        <v>-3974361.4070778349</v>
      </c>
      <c r="DD14" s="83">
        <f t="shared" si="19"/>
        <v>-3971944.4236518349</v>
      </c>
      <c r="DE14" s="83">
        <f t="shared" si="19"/>
        <v>-3969527.440225835</v>
      </c>
      <c r="DF14" s="83">
        <f t="shared" si="19"/>
        <v>-3967110.456799835</v>
      </c>
      <c r="DG14" s="83">
        <f t="shared" si="19"/>
        <v>-3964693.473373835</v>
      </c>
      <c r="DH14" s="83">
        <f t="shared" si="19"/>
        <v>-3962276.489947835</v>
      </c>
      <c r="DI14" s="83">
        <f t="shared" si="19"/>
        <v>-3910435.6009424357</v>
      </c>
      <c r="DJ14" s="83">
        <f t="shared" si="19"/>
        <v>-3802110.248417723</v>
      </c>
      <c r="DK14" s="83">
        <f t="shared" si="19"/>
        <v>-3690254.6169230533</v>
      </c>
      <c r="DL14" s="83">
        <f t="shared" si="19"/>
        <v>-3578398.9854283836</v>
      </c>
      <c r="DM14" s="83">
        <f t="shared" si="19"/>
        <v>-3473603.9118736284</v>
      </c>
      <c r="DN14" s="83">
        <f t="shared" si="19"/>
        <v>-3361748.2803789587</v>
      </c>
      <c r="DO14" s="83">
        <f t="shared" si="19"/>
        <v>-3313437.6703435164</v>
      </c>
      <c r="DP14" s="83">
        <f t="shared" si="19"/>
        <v>-3311020.6869175164</v>
      </c>
      <c r="DQ14" s="83">
        <f t="shared" si="19"/>
        <v>-3308603.7034915164</v>
      </c>
      <c r="DR14" s="83">
        <f t="shared" si="19"/>
        <v>-3306186.7200655164</v>
      </c>
      <c r="DS14" s="83">
        <f t="shared" si="19"/>
        <v>-3303769.7366395164</v>
      </c>
      <c r="DT14" s="83">
        <f t="shared" si="19"/>
        <v>-3301352.7532135164</v>
      </c>
      <c r="DU14" s="83">
        <f t="shared" si="19"/>
        <v>-3249511.8642081171</v>
      </c>
      <c r="DV14" s="83">
        <f t="shared" si="19"/>
        <v>-3141186.5116834044</v>
      </c>
      <c r="DW14" s="83">
        <f t="shared" si="19"/>
        <v>-3029330.8801887347</v>
      </c>
      <c r="DX14" s="83">
        <f t="shared" si="19"/>
        <v>-2917475.248694065</v>
      </c>
      <c r="DY14" s="83">
        <f t="shared" si="19"/>
        <v>-2812680.1751393098</v>
      </c>
      <c r="DZ14" s="83">
        <f t="shared" si="19"/>
        <v>-2700824.5436446401</v>
      </c>
      <c r="EA14" s="83">
        <f t="shared" ref="EA14:GL14" si="20">DZ14+EA13</f>
        <v>-2652513.9336091978</v>
      </c>
      <c r="EB14" s="83">
        <f t="shared" si="20"/>
        <v>-2650096.9501831979</v>
      </c>
      <c r="EC14" s="83">
        <f t="shared" si="20"/>
        <v>-2647679.9667571979</v>
      </c>
      <c r="ED14" s="83">
        <f t="shared" si="20"/>
        <v>-2645262.9833311979</v>
      </c>
      <c r="EE14" s="83">
        <f t="shared" si="20"/>
        <v>-2642845.9999051979</v>
      </c>
      <c r="EF14" s="83">
        <f t="shared" si="20"/>
        <v>-2640429.0164791979</v>
      </c>
      <c r="EG14" s="83">
        <f t="shared" si="20"/>
        <v>-2588588.1274737986</v>
      </c>
      <c r="EH14" s="83">
        <f t="shared" si="20"/>
        <v>-2480262.7749490859</v>
      </c>
      <c r="EI14" s="83">
        <f t="shared" si="20"/>
        <v>-2368407.1434544162</v>
      </c>
      <c r="EJ14" s="83">
        <f t="shared" si="20"/>
        <v>-2256551.5119597465</v>
      </c>
      <c r="EK14" s="83">
        <f t="shared" si="20"/>
        <v>-2151756.4384049913</v>
      </c>
      <c r="EL14" s="83">
        <f t="shared" si="20"/>
        <v>-2039900.8069103218</v>
      </c>
      <c r="EM14" s="83">
        <f t="shared" si="20"/>
        <v>-1991590.1968748798</v>
      </c>
      <c r="EN14" s="83">
        <f t="shared" si="20"/>
        <v>-1989173.2134488798</v>
      </c>
      <c r="EO14" s="83">
        <f t="shared" si="20"/>
        <v>-1986756.2300228798</v>
      </c>
      <c r="EP14" s="83">
        <f t="shared" si="20"/>
        <v>-1984339.2465968798</v>
      </c>
      <c r="EQ14" s="83">
        <f t="shared" si="20"/>
        <v>-1981922.2631708798</v>
      </c>
      <c r="ER14" s="83">
        <f t="shared" si="20"/>
        <v>-1979505.2797448798</v>
      </c>
      <c r="ES14" s="83">
        <f t="shared" si="20"/>
        <v>-1927664.3907394807</v>
      </c>
      <c r="ET14" s="83">
        <f t="shared" si="20"/>
        <v>-1819339.0382147683</v>
      </c>
      <c r="EU14" s="83">
        <f t="shared" si="20"/>
        <v>-1707483.4067200988</v>
      </c>
      <c r="EV14" s="83">
        <f t="shared" si="20"/>
        <v>-1595627.7752254293</v>
      </c>
      <c r="EW14" s="83">
        <f t="shared" si="20"/>
        <v>-1490832.7016706739</v>
      </c>
      <c r="EX14" s="83">
        <f t="shared" si="20"/>
        <v>-1378977.0701760044</v>
      </c>
      <c r="EY14" s="83">
        <f t="shared" si="20"/>
        <v>-1330666.4601405624</v>
      </c>
      <c r="EZ14" s="83">
        <f t="shared" si="20"/>
        <v>-1328249.4767145624</v>
      </c>
      <c r="FA14" s="83">
        <f t="shared" si="20"/>
        <v>-1325832.4932885624</v>
      </c>
      <c r="FB14" s="83">
        <f t="shared" si="20"/>
        <v>-1323415.5098625624</v>
      </c>
      <c r="FC14" s="83">
        <f t="shared" si="20"/>
        <v>-1320998.5264365624</v>
      </c>
      <c r="FD14" s="83">
        <f t="shared" si="20"/>
        <v>-1318581.5430105624</v>
      </c>
      <c r="FE14" s="83">
        <f t="shared" si="20"/>
        <v>-1266740.6540051633</v>
      </c>
      <c r="FF14" s="83">
        <f t="shared" si="20"/>
        <v>-1158415.3014804509</v>
      </c>
      <c r="FG14" s="83">
        <f t="shared" si="20"/>
        <v>-1046559.6699857814</v>
      </c>
      <c r="FH14" s="83">
        <f t="shared" si="20"/>
        <v>-934704.03849111195</v>
      </c>
      <c r="FI14" s="83">
        <f t="shared" si="20"/>
        <v>-829908.96493635664</v>
      </c>
      <c r="FJ14" s="83">
        <f t="shared" si="20"/>
        <v>-718053.33344168717</v>
      </c>
      <c r="FK14" s="83">
        <f t="shared" si="20"/>
        <v>-669742.72340624512</v>
      </c>
      <c r="FL14" s="83">
        <f t="shared" si="20"/>
        <v>-667325.73998024513</v>
      </c>
      <c r="FM14" s="83">
        <f t="shared" si="20"/>
        <v>-664908.75655424513</v>
      </c>
      <c r="FN14" s="83">
        <f t="shared" si="20"/>
        <v>-662491.77312824514</v>
      </c>
      <c r="FO14" s="83">
        <f t="shared" si="20"/>
        <v>-660074.78970224515</v>
      </c>
      <c r="FP14" s="83">
        <f t="shared" si="20"/>
        <v>-657657.80627624516</v>
      </c>
      <c r="FQ14" s="83">
        <f t="shared" si="20"/>
        <v>-605816.91727084597</v>
      </c>
      <c r="FR14" s="83">
        <f t="shared" si="20"/>
        <v>-497491.56474613352</v>
      </c>
      <c r="FS14" s="83">
        <f t="shared" si="20"/>
        <v>-385635.93325146398</v>
      </c>
      <c r="FT14" s="83">
        <f t="shared" si="20"/>
        <v>-273780.30175679445</v>
      </c>
      <c r="FU14" s="83">
        <f t="shared" si="20"/>
        <v>-168985.22820203908</v>
      </c>
      <c r="FV14" s="83">
        <f t="shared" si="20"/>
        <v>-57129.596707369565</v>
      </c>
      <c r="FW14" s="83">
        <f t="shared" si="20"/>
        <v>-8818.9866719275087</v>
      </c>
      <c r="FX14" s="83">
        <f t="shared" si="20"/>
        <v>-6402.0032459275099</v>
      </c>
      <c r="FY14" s="83">
        <f t="shared" si="20"/>
        <v>-3985.0198199275105</v>
      </c>
      <c r="FZ14" s="83">
        <f t="shared" si="20"/>
        <v>-1568.0363939275112</v>
      </c>
      <c r="GA14" s="83">
        <f t="shared" si="20"/>
        <v>848.94703207248813</v>
      </c>
      <c r="GB14" s="83">
        <f t="shared" si="20"/>
        <v>3265.9304580724875</v>
      </c>
      <c r="GC14" s="83">
        <f t="shared" si="20"/>
        <v>55106.819463471627</v>
      </c>
      <c r="GD14" s="83">
        <f t="shared" si="20"/>
        <v>163432.17198818407</v>
      </c>
      <c r="GE14" s="83">
        <f t="shared" si="20"/>
        <v>275287.80348285357</v>
      </c>
      <c r="GF14" s="83">
        <f t="shared" si="20"/>
        <v>387143.43497752311</v>
      </c>
      <c r="GG14" s="83">
        <f t="shared" si="20"/>
        <v>491938.50853227847</v>
      </c>
      <c r="GH14" s="83">
        <f t="shared" si="20"/>
        <v>603794.14002694795</v>
      </c>
      <c r="GI14" s="83">
        <f t="shared" si="20"/>
        <v>652104.75006239</v>
      </c>
      <c r="GJ14" s="83">
        <f t="shared" si="20"/>
        <v>654521.73348838999</v>
      </c>
      <c r="GK14" s="83">
        <f t="shared" si="20"/>
        <v>656938.71691438998</v>
      </c>
      <c r="GL14" s="83">
        <f t="shared" si="20"/>
        <v>659355.70034038997</v>
      </c>
      <c r="GM14" s="83">
        <f t="shared" ref="GM14:IG14" si="21">GL14+GM13</f>
        <v>661772.68376638996</v>
      </c>
      <c r="GN14" s="83">
        <f t="shared" si="21"/>
        <v>664189.66719238996</v>
      </c>
      <c r="GO14" s="83">
        <f t="shared" si="21"/>
        <v>716030.55619778915</v>
      </c>
      <c r="GP14" s="83">
        <f t="shared" si="21"/>
        <v>824355.9087225016</v>
      </c>
      <c r="GQ14" s="83">
        <f t="shared" si="21"/>
        <v>936211.54021717107</v>
      </c>
      <c r="GR14" s="83">
        <f t="shared" si="21"/>
        <v>1048067.1717118406</v>
      </c>
      <c r="GS14" s="83">
        <f t="shared" si="21"/>
        <v>1152862.2452665959</v>
      </c>
      <c r="GT14" s="83">
        <f t="shared" si="21"/>
        <v>1264717.8767612653</v>
      </c>
      <c r="GU14" s="83">
        <f t="shared" si="21"/>
        <v>1313028.4867967074</v>
      </c>
      <c r="GV14" s="83">
        <f t="shared" si="21"/>
        <v>1315445.4702227074</v>
      </c>
      <c r="GW14" s="83">
        <f t="shared" si="21"/>
        <v>1317862.4536487074</v>
      </c>
      <c r="GX14" s="83">
        <f t="shared" si="21"/>
        <v>1320279.4370747074</v>
      </c>
      <c r="GY14" s="83">
        <f t="shared" si="21"/>
        <v>1322696.4205007073</v>
      </c>
      <c r="GZ14" s="83">
        <f t="shared" si="21"/>
        <v>1325113.4039267073</v>
      </c>
      <c r="HA14" s="83">
        <f t="shared" si="21"/>
        <v>1376954.2929321064</v>
      </c>
      <c r="HB14" s="83">
        <f t="shared" si="21"/>
        <v>1485279.6454568189</v>
      </c>
      <c r="HC14" s="83">
        <f t="shared" si="21"/>
        <v>1597135.2769514883</v>
      </c>
      <c r="HD14" s="83">
        <f t="shared" si="21"/>
        <v>1708990.9084461578</v>
      </c>
      <c r="HE14" s="83">
        <f t="shared" si="21"/>
        <v>1813785.9820009132</v>
      </c>
      <c r="HF14" s="83">
        <f t="shared" si="21"/>
        <v>1925641.6134955827</v>
      </c>
      <c r="HG14" s="83">
        <f t="shared" si="21"/>
        <v>1973952.2235310248</v>
      </c>
      <c r="HH14" s="83">
        <f t="shared" si="21"/>
        <v>1976369.2069570248</v>
      </c>
      <c r="HI14" s="83">
        <f t="shared" si="21"/>
        <v>1978786.1903830247</v>
      </c>
      <c r="HJ14" s="83">
        <f t="shared" si="21"/>
        <v>1981203.1738090247</v>
      </c>
      <c r="HK14" s="83">
        <f t="shared" si="21"/>
        <v>1983620.1572350247</v>
      </c>
      <c r="HL14" s="83">
        <f t="shared" si="21"/>
        <v>1986037.1406610247</v>
      </c>
      <c r="HM14" s="83">
        <f t="shared" si="21"/>
        <v>2037878.0296664238</v>
      </c>
      <c r="HN14" s="83">
        <f t="shared" si="21"/>
        <v>2146203.3821911365</v>
      </c>
      <c r="HO14" s="83">
        <f t="shared" si="21"/>
        <v>2258059.0136858062</v>
      </c>
      <c r="HP14" s="83">
        <f t="shared" si="21"/>
        <v>2369914.6451804759</v>
      </c>
      <c r="HQ14" s="83">
        <f t="shared" si="21"/>
        <v>2474709.7187352311</v>
      </c>
      <c r="HR14" s="83">
        <f t="shared" si="21"/>
        <v>2586565.3502299008</v>
      </c>
      <c r="HS14" s="83">
        <f t="shared" si="21"/>
        <v>2634875.9602653431</v>
      </c>
      <c r="HT14" s="83">
        <f t="shared" si="21"/>
        <v>2637292.9436913431</v>
      </c>
      <c r="HU14" s="83">
        <f t="shared" si="21"/>
        <v>2639709.9271173431</v>
      </c>
      <c r="HV14" s="83">
        <f t="shared" si="21"/>
        <v>2642126.9105433431</v>
      </c>
      <c r="HW14" s="83">
        <f t="shared" si="21"/>
        <v>2644543.893969343</v>
      </c>
      <c r="HX14" s="83">
        <f t="shared" si="21"/>
        <v>2646960.877395343</v>
      </c>
      <c r="HY14" s="83">
        <f t="shared" si="21"/>
        <v>2698801.7664007423</v>
      </c>
      <c r="HZ14" s="83">
        <f t="shared" si="21"/>
        <v>2807127.118925455</v>
      </c>
      <c r="IA14" s="83">
        <f t="shared" si="21"/>
        <v>2918982.7504201247</v>
      </c>
      <c r="IB14" s="83">
        <f t="shared" si="21"/>
        <v>3030838.3819147944</v>
      </c>
      <c r="IC14" s="83">
        <f t="shared" si="21"/>
        <v>3135633.4554695496</v>
      </c>
      <c r="ID14" s="83">
        <f t="shared" si="21"/>
        <v>3247489.0869642193</v>
      </c>
      <c r="IE14" s="83">
        <f t="shared" si="21"/>
        <v>3295799.6969996616</v>
      </c>
      <c r="IF14" s="83">
        <f t="shared" si="21"/>
        <v>3298216.6804256616</v>
      </c>
      <c r="IG14" s="83">
        <f t="shared" si="21"/>
        <v>3300633.6638516616</v>
      </c>
    </row>
    <row r="15" spans="1:247" ht="30" x14ac:dyDescent="0.25">
      <c r="A15" s="94" t="s">
        <v>326</v>
      </c>
      <c r="B15" s="83">
        <f>B13/POWER((1+'Вхідні дані'!$B$13/12),B1)</f>
        <v>0</v>
      </c>
      <c r="C15" s="83">
        <f>C13/POWER((1+'Вхідні дані'!$B$13/12),C1)</f>
        <v>1030.8167547788421</v>
      </c>
      <c r="D15" s="83">
        <f>D13/POWER((1+'Вхідні дані'!$B$13/12),D1)</f>
        <v>1009.7796781507026</v>
      </c>
      <c r="E15" s="83">
        <f>E13/POWER((1+'Вхідні дані'!$B$13/12),E1)</f>
        <v>-122085.68896751474</v>
      </c>
      <c r="F15" s="83">
        <f>F13/POWER((1+'Вхідні дані'!$B$13/12),F1)</f>
        <v>-96949.146805117402</v>
      </c>
      <c r="G15" s="83">
        <f>G13/POWER((1+'Вхідні дані'!$B$13/12),G1)</f>
        <v>-93584.164370956423</v>
      </c>
      <c r="H15" s="83">
        <f>H13/POWER((1+'Вхідні дані'!$B$13/12),H1)</f>
        <v>-91209.364502918746</v>
      </c>
      <c r="I15" s="83">
        <f>I13/POWER((1+'Вхідні дані'!$B$13/12),I1)</f>
        <v>-92008.782782076203</v>
      </c>
      <c r="J15" s="83">
        <f>J13/POWER((1+'Вхідні дані'!$B$13/12),J1)</f>
        <v>-87524.521372230243</v>
      </c>
      <c r="K15" s="83">
        <f>K13/POWER((1+'Вхідні дані'!$B$13/12),K1)</f>
        <v>-108718.33637203179</v>
      </c>
      <c r="L15" s="83">
        <f>L13/POWER((1+'Вхідні дані'!$B$13/12),L1)</f>
        <v>-122757.57502467821</v>
      </c>
      <c r="M15" s="83">
        <f>M13/POWER((1+'Вхідні дані'!$B$13/12),M1)</f>
        <v>-120252.31839152153</v>
      </c>
      <c r="N15" s="83">
        <f>N13/POWER((1+'Вхідні дані'!$B$13/12),N1)</f>
        <v>-117798.18944475577</v>
      </c>
      <c r="O15" s="83">
        <f>O13/POWER((1+'Вхідні дані'!$B$13/12),O1)</f>
        <v>-115394.14476220976</v>
      </c>
      <c r="P15" s="83">
        <f>P13/POWER((1+'Вхідні дані'!$B$13/12),P1)</f>
        <v>-113039.16221604224</v>
      </c>
      <c r="Q15" s="83">
        <f>Q13/POWER((1+'Вхідні дані'!$B$13/12),Q1)</f>
        <v>-87042.062762247413</v>
      </c>
      <c r="R15" s="83">
        <f>R13/POWER((1+'Вхідні дані'!$B$13/12),R1)</f>
        <v>-58743.745837210583</v>
      </c>
      <c r="S15" s="83">
        <f>S13/POWER((1+'Вхідні дані'!$B$13/12),S1)</f>
        <v>-55921.101128457172</v>
      </c>
      <c r="T15" s="83">
        <f>T13/POWER((1+'Вхідні дані'!$B$13/12),T1)</f>
        <v>-54235.338465481742</v>
      </c>
      <c r="U15" s="83">
        <f>U13/POWER((1+'Вхідні дані'!$B$13/12),U1)</f>
        <v>-57803.070211912745</v>
      </c>
      <c r="V15" s="83">
        <f>V13/POWER((1+'Вхідні дані'!$B$13/12),V1)</f>
        <v>-52044.239826934587</v>
      </c>
      <c r="W15" s="83">
        <f>W13/POWER((1+'Вхідні дані'!$B$13/12),W1)</f>
        <v>-76401.211306246943</v>
      </c>
      <c r="X15" s="83">
        <f>X13/POWER((1+'Вхідні дані'!$B$13/12),X1)</f>
        <v>-95348.166668385136</v>
      </c>
      <c r="Y15" s="83">
        <f>Y13/POWER((1+'Вхідні дані'!$B$13/12),Y1)</f>
        <v>-93402.285715969105</v>
      </c>
      <c r="Z15" s="83">
        <f>Z13/POWER((1+'Вхідні дані'!$B$13/12),Z1)</f>
        <v>-91496.116619724853</v>
      </c>
      <c r="AA15" s="83">
        <f>AA13/POWER((1+'Вхідні дані'!$B$13/12),AA1)</f>
        <v>-89628.848933608024</v>
      </c>
      <c r="AB15" s="83">
        <f>AB13/POWER((1+'Вхідні дані'!$B$13/12),AB1)</f>
        <v>-87799.688751289519</v>
      </c>
      <c r="AC15" s="83">
        <f>AC13/POWER((1+'Вхідні дані'!$B$13/12),AC1)</f>
        <v>-58261.789047384002</v>
      </c>
      <c r="AD15" s="83">
        <f>AD13/POWER((1+'Вхідні дані'!$B$13/12),AD1)</f>
        <v>-26010.118077464103</v>
      </c>
      <c r="AE15" s="83">
        <f>AE13/POWER((1+'Вхідні дані'!$B$13/12),AE1)</f>
        <v>-23577.504145255949</v>
      </c>
      <c r="AF15" s="83">
        <f>AF13/POWER((1+'Вхідні дані'!$B$13/12),AF1)</f>
        <v>-23096.330591271137</v>
      </c>
      <c r="AG15" s="83">
        <f>AG13/POWER((1+'Вхідні дані'!$B$13/12),AG1)</f>
        <v>-28099.86586628959</v>
      </c>
      <c r="AH15" s="83">
        <f>AH13/POWER((1+'Вхідні дані'!$B$13/12),AH1)</f>
        <v>-22163.242683168977</v>
      </c>
      <c r="AI15" s="83">
        <f>AI13/POWER((1+'Вхідні дані'!$B$13/12),AI1)</f>
        <v>-51481.922973683613</v>
      </c>
      <c r="AJ15" s="83">
        <f>AJ13/POWER((1+'Вхідні дані'!$B$13/12),AJ1)</f>
        <v>-74448.205695394616</v>
      </c>
      <c r="AK15" s="83">
        <f>AK13/POWER((1+'Вхідні дані'!$B$13/12),AK1)</f>
        <v>-72928.854558753912</v>
      </c>
      <c r="AL15" s="83">
        <f>AL13/POWER((1+'Вхідні дані'!$B$13/12),AL1)</f>
        <v>-71440.510588167104</v>
      </c>
      <c r="AM15" s="83">
        <f>AM13/POWER((1+'Вхідні дані'!$B$13/12),AM1)</f>
        <v>-69982.540984326974</v>
      </c>
      <c r="AN15" s="83">
        <f>AN13/POWER((1+'Вхідні дані'!$B$13/12),AN1)</f>
        <v>-68554.325862197875</v>
      </c>
      <c r="AO15" s="83">
        <f>AO13/POWER((1+'Вхідні дані'!$B$13/12),AO1)</f>
        <v>-45491.023128602283</v>
      </c>
      <c r="AP15" s="83">
        <f>AP13/POWER((1+'Вхідні дані'!$B$13/12),AP1)</f>
        <v>-20308.797625100116</v>
      </c>
      <c r="AQ15" s="83">
        <f>AQ13/POWER((1+'Вхідні дані'!$B$13/12),AQ1)</f>
        <v>-18409.403554604945</v>
      </c>
      <c r="AR15" s="83">
        <f>AR13/POWER((1+'Вхідні дані'!$B$13/12),AR1)</f>
        <v>-18033.701441245667</v>
      </c>
      <c r="AS15" s="83">
        <f>AS13/POWER((1+'Вхідні дані'!$B$13/12),AS1)</f>
        <v>-21940.480526514111</v>
      </c>
      <c r="AT15" s="83">
        <f>AT13/POWER((1+'Вхідні дані'!$B$13/12),AT1)</f>
        <v>-17305.14290738443</v>
      </c>
      <c r="AU15" s="83">
        <f>AU13/POWER((1+'Вхідні дані'!$B$13/12),AU1)</f>
        <v>-40197.278301839557</v>
      </c>
      <c r="AV15" s="83">
        <f>AV13/POWER((1+'Вхідні дані'!$B$13/12),AV1)</f>
        <v>-58129.437879391786</v>
      </c>
      <c r="AW15" s="83">
        <f>AW13/POWER((1+'Вхідні дані'!$B$13/12),AW1)</f>
        <v>-56943.122820628691</v>
      </c>
      <c r="AX15" s="83">
        <f>AX13/POWER((1+'Вхідні дані'!$B$13/12),AX1)</f>
        <v>-55781.018273268928</v>
      </c>
      <c r="AY15" s="83">
        <f>AY13/POWER((1+'Вхідні дані'!$B$13/12),AY1)</f>
        <v>-54642.630145243034</v>
      </c>
      <c r="AZ15" s="83">
        <f>AZ13/POWER((1+'Вхідні дані'!$B$13/12),AZ1)</f>
        <v>-53527.474427993184</v>
      </c>
      <c r="BA15" s="83">
        <f>BA13/POWER((1+'Вхідні дані'!$B$13/12),BA1)</f>
        <v>-35519.561261738272</v>
      </c>
      <c r="BB15" s="83">
        <f>BB13/POWER((1+'Вхідні дані'!$B$13/12),BB1)</f>
        <v>-15857.185259555892</v>
      </c>
      <c r="BC15" s="83">
        <f>BC13/POWER((1+'Вхідні дані'!$B$13/12),BC1)</f>
        <v>-14374.131254452259</v>
      </c>
      <c r="BD15" s="83">
        <f>BD13/POWER((1+'Вхідні дані'!$B$13/12),BD1)</f>
        <v>-14080.781637014461</v>
      </c>
      <c r="BE15" s="83">
        <f>BE13/POWER((1+'Вхідні дані'!$B$13/12),BE1)</f>
        <v>-16018.612502842951</v>
      </c>
      <c r="BF15" s="83">
        <f>BF13/POWER((1+'Вхідні дані'!$B$13/12),BF1)</f>
        <v>-13511.920404698594</v>
      </c>
      <c r="BG15" s="83">
        <f>BG13/POWER((1+'Вхідні дані'!$B$13/12),BG1)</f>
        <v>-32453.83362105066</v>
      </c>
      <c r="BH15" s="83">
        <f>BH13/POWER((1+'Вхідні дані'!$B$13/12),BH1)</f>
        <v>-45387.682840865244</v>
      </c>
      <c r="BI15" s="83">
        <f>BI13/POWER((1+'Вхідні дані'!$B$13/12),BI1)</f>
        <v>-44461.403599214937</v>
      </c>
      <c r="BJ15" s="83">
        <f>BJ13/POWER((1+'Вхідні дані'!$B$13/12),BJ1)</f>
        <v>-43554.02801555748</v>
      </c>
      <c r="BK15" s="83">
        <f>BK13/POWER((1+'Вхідні дані'!$B$13/12),BK1)</f>
        <v>-42665.170300954276</v>
      </c>
      <c r="BL15" s="83">
        <f>BL13/POWER((1+'Вхідні дані'!$B$13/12),BL1)</f>
        <v>-41794.452539710321</v>
      </c>
      <c r="BM15" s="83">
        <f>BM13/POWER((1+'Вхідні дані'!$B$13/12),BM1)</f>
        <v>13853.595750962982</v>
      </c>
      <c r="BN15" s="83">
        <f>BN13/POWER((1+'Вхідні дані'!$B$13/12),BN1)</f>
        <v>28357.330091341519</v>
      </c>
      <c r="BO15" s="83">
        <f>BO13/POWER((1+'Вхідні дані'!$B$13/12),BO1)</f>
        <v>28683.90258647388</v>
      </c>
      <c r="BP15" s="83">
        <f>BP13/POWER((1+'Вхідні дані'!$B$13/12),BP1)</f>
        <v>28098.51681940299</v>
      </c>
      <c r="BQ15" s="83">
        <f>BQ13/POWER((1+'Вхідні дані'!$B$13/12),BQ1)</f>
        <v>25787.638080397861</v>
      </c>
      <c r="BR15" s="83">
        <f>BR13/POWER((1+'Вхідні дані'!$B$13/12),BR1)</f>
        <v>26963.341421034776</v>
      </c>
      <c r="BS15" s="83">
        <f>BS13/POWER((1+'Вхідні дані'!$B$13/12),BS1)</f>
        <v>11407.843005805818</v>
      </c>
      <c r="BT15" s="83">
        <f>BT13/POWER((1+'Вхідні дані'!$B$13/12),BT1)</f>
        <v>559.08757916794252</v>
      </c>
      <c r="BU15" s="83">
        <f>BU13/POWER((1+'Вхідні дані'!$B$13/12),BU1)</f>
        <v>547.67762857267849</v>
      </c>
      <c r="BV15" s="83">
        <f>BV13/POWER((1+'Вхідні дані'!$B$13/12),BV1)</f>
        <v>536.50053411201156</v>
      </c>
      <c r="BW15" s="83">
        <f>BW13/POWER((1+'Вхідні дані'!$B$13/12),BW1)</f>
        <v>525.55154361992982</v>
      </c>
      <c r="BX15" s="83">
        <f>BX13/POWER((1+'Вхідні дані'!$B$13/12),BX1)</f>
        <v>514.82600191340077</v>
      </c>
      <c r="BY15" s="83">
        <f>BY13/POWER((1+'Вхідні дані'!$B$13/12),BY1)</f>
        <v>10816.939455958236</v>
      </c>
      <c r="BZ15" s="83">
        <f>BZ13/POWER((1+'Вхідні дані'!$B$13/12),BZ1)</f>
        <v>22141.509557859146</v>
      </c>
      <c r="CA15" s="83">
        <f>CA13/POWER((1+'Вхідні дані'!$B$13/12),CA1)</f>
        <v>22396.498585352783</v>
      </c>
      <c r="CB15" s="83">
        <f>CB13/POWER((1+'Вхідні дані'!$B$13/12),CB1)</f>
        <v>21939.427185651712</v>
      </c>
      <c r="CC15" s="83">
        <f>CC13/POWER((1+'Вхідні дані'!$B$13/12),CC1)</f>
        <v>20135.084410012249</v>
      </c>
      <c r="CD15" s="83">
        <f>CD13/POWER((1+'Вхідні дані'!$B$13/12),CD1)</f>
        <v>21053.077982399645</v>
      </c>
      <c r="CE15" s="83">
        <f>CE13/POWER((1+'Вхідні дані'!$B$13/12),CE1)</f>
        <v>8907.2865510963529</v>
      </c>
      <c r="CF15" s="83">
        <f>CF13/POWER((1+'Вхідні дані'!$B$13/12),CF1)</f>
        <v>436.53767607716668</v>
      </c>
      <c r="CG15" s="83">
        <f>CG13/POWER((1+'Вхідні дані'!$B$13/12),CG1)</f>
        <v>427.62874391232663</v>
      </c>
      <c r="CH15" s="83">
        <f>CH13/POWER((1+'Вхідні дані'!$B$13/12),CH1)</f>
        <v>418.90162668962608</v>
      </c>
      <c r="CI15" s="83">
        <f>CI13/POWER((1+'Вхідні дані'!$B$13/12),CI1)</f>
        <v>410.35261390004189</v>
      </c>
      <c r="CJ15" s="83">
        <f>CJ13/POWER((1+'Вхідні дані'!$B$13/12),CJ1)</f>
        <v>401.97807075922481</v>
      </c>
      <c r="CK15" s="83">
        <f>CK13/POWER((1+'Вхідні дані'!$B$13/12),CK1)</f>
        <v>8445.9068459344053</v>
      </c>
      <c r="CL15" s="83">
        <f>CL13/POWER((1+'Вхідні дані'!$B$13/12),CL1)</f>
        <v>17288.17360173331</v>
      </c>
      <c r="CM15" s="83">
        <f>CM13/POWER((1+'Вхідні дані'!$B$13/12),CM1)</f>
        <v>17487.2699895531</v>
      </c>
      <c r="CN15" s="83">
        <f>CN13/POWER((1+'Вхідні дані'!$B$13/12),CN1)</f>
        <v>17130.386928541815</v>
      </c>
      <c r="CO15" s="83">
        <f>CO13/POWER((1+'Вхідні дані'!$B$13/12),CO1)</f>
        <v>15721.549330510201</v>
      </c>
      <c r="CP15" s="83">
        <f>CP13/POWER((1+'Вхідні дані'!$B$13/12),CP1)</f>
        <v>16438.3221505041</v>
      </c>
      <c r="CQ15" s="83">
        <f>CQ13/POWER((1+'Вхідні дані'!$B$13/12),CQ1)</f>
        <v>6954.8427045291028</v>
      </c>
      <c r="CR15" s="83">
        <f>CR13/POWER((1+'Вхідні дані'!$B$13/12),CR1)</f>
        <v>340.85025268931975</v>
      </c>
      <c r="CS15" s="83">
        <f>CS13/POWER((1+'Вхідні дані'!$B$13/12),CS1)</f>
        <v>333.89412508341536</v>
      </c>
      <c r="CT15" s="83">
        <f>CT13/POWER((1+'Вхідні дані'!$B$13/12),CT1)</f>
        <v>327.07995926538649</v>
      </c>
      <c r="CU15" s="83">
        <f>CU13/POWER((1+'Вхідні дані'!$B$13/12),CU1)</f>
        <v>320.40485805588884</v>
      </c>
      <c r="CV15" s="83">
        <f>CV13/POWER((1+'Вхідні дані'!$B$13/12),CV1)</f>
        <v>313.86598340168712</v>
      </c>
      <c r="CW15" s="83">
        <f>CW13/POWER((1+'Вхідні дані'!$B$13/12),CW1)</f>
        <v>6594.5957024756663</v>
      </c>
      <c r="CX15" s="83">
        <f>CX13/POWER((1+'Вхідні дані'!$B$13/12),CX1)</f>
        <v>13498.670707281586</v>
      </c>
      <c r="CY15" s="83">
        <f>CY13/POWER((1+'Вхідні дані'!$B$13/12),CY1)</f>
        <v>13654.125912678128</v>
      </c>
      <c r="CZ15" s="83">
        <f>CZ13/POWER((1+'Вхідні дані'!$B$13/12),CZ1)</f>
        <v>13375.470281807151</v>
      </c>
      <c r="DA15" s="83">
        <f>DA13/POWER((1+'Вхідні дані'!$B$13/12),DA1)</f>
        <v>12275.444607958085</v>
      </c>
      <c r="DB15" s="83">
        <f>DB13/POWER((1+'Вхідні дані'!$B$13/12),DB1)</f>
        <v>12835.103510738727</v>
      </c>
      <c r="DC15" s="83">
        <f>DC13/POWER((1+'Вхідні дані'!$B$13/12),DC1)</f>
        <v>5430.3672355514473</v>
      </c>
      <c r="DD15" s="83">
        <f>DD13/POWER((1+'Вхідні дані'!$B$13/12),DD1)</f>
        <v>266.13715407656184</v>
      </c>
      <c r="DE15" s="83">
        <f>DE13/POWER((1+'Вхідні дані'!$B$13/12),DE1)</f>
        <v>260.70578358520351</v>
      </c>
      <c r="DF15" s="83">
        <f>DF13/POWER((1+'Вхідні дані'!$B$13/12),DF1)</f>
        <v>255.38525738958705</v>
      </c>
      <c r="DG15" s="83">
        <f>DG13/POWER((1+'Вхідні дані'!$B$13/12),DG1)</f>
        <v>250.17331336122822</v>
      </c>
      <c r="DH15" s="83">
        <f>DH13/POWER((1+'Вхідні дані'!$B$13/12),DH1)</f>
        <v>245.06773553752973</v>
      </c>
      <c r="DI15" s="83">
        <f>DI13/POWER((1+'Вхідні дані'!$B$13/12),DI1)</f>
        <v>5149.08502691391</v>
      </c>
      <c r="DJ15" s="83">
        <f>DJ13/POWER((1+'Вхідні дані'!$B$13/12),DJ1)</f>
        <v>10539.812652352888</v>
      </c>
      <c r="DK15" s="83">
        <f>DK13/POWER((1+'Вхідні дані'!$B$13/12),DK1)</f>
        <v>10661.192659039678</v>
      </c>
      <c r="DL15" s="83">
        <f>DL13/POWER((1+'Вхідні дані'!$B$13/12),DL1)</f>
        <v>10443.617298651114</v>
      </c>
      <c r="DM15" s="83">
        <f>DM13/POWER((1+'Вхідні дані'!$B$13/12),DM1)</f>
        <v>9584.7131319694872</v>
      </c>
      <c r="DN15" s="83">
        <f>DN13/POWER((1+'Вхідні дані'!$B$13/12),DN1)</f>
        <v>10021.696899663544</v>
      </c>
      <c r="DO15" s="83">
        <f>DO13/POWER((1+'Вхідні дані'!$B$13/12),DO1)</f>
        <v>4240.0510789046375</v>
      </c>
      <c r="DP15" s="83">
        <f>DP13/POWER((1+'Вхідні дані'!$B$13/12),DP1)</f>
        <v>207.80088681504148</v>
      </c>
      <c r="DQ15" s="83">
        <f>DQ13/POWER((1+'Вхідні дані'!$B$13/12),DQ1)</f>
        <v>203.56005239024472</v>
      </c>
      <c r="DR15" s="83">
        <f>DR13/POWER((1+'Вхідні дані'!$B$13/12),DR1)</f>
        <v>199.40576560677033</v>
      </c>
      <c r="DS15" s="83">
        <f>DS13/POWER((1+'Вхідні дані'!$B$13/12),DS1)</f>
        <v>195.33626018622402</v>
      </c>
      <c r="DT15" s="83">
        <f>DT13/POWER((1+'Вхідні дані'!$B$13/12),DT1)</f>
        <v>191.34980589670928</v>
      </c>
      <c r="DU15" s="83">
        <f>DU13/POWER((1+'Вхідні дані'!$B$13/12),DU1)</f>
        <v>4020.424876757158</v>
      </c>
      <c r="DV15" s="83">
        <f>DV13/POWER((1+'Вхідні дані'!$B$13/12),DV1)</f>
        <v>8229.5251996016177</v>
      </c>
      <c r="DW15" s="83">
        <f>DW13/POWER((1+'Вхідні дані'!$B$13/12),DW1)</f>
        <v>8324.2991634949667</v>
      </c>
      <c r="DX15" s="83">
        <f>DX13/POWER((1+'Вхідні дані'!$B$13/12),DX1)</f>
        <v>8154.415507097111</v>
      </c>
      <c r="DY15" s="83">
        <f>DY13/POWER((1+'Вхідні дані'!$B$13/12),DY1)</f>
        <v>7483.7799164188127</v>
      </c>
      <c r="DZ15" s="83">
        <f>DZ13/POWER((1+'Вхідні дані'!$B$13/12),DZ1)</f>
        <v>7824.9784791135971</v>
      </c>
      <c r="EA15" s="83">
        <f>EA13/POWER((1+'Вхідні дані'!$B$13/12),EA1)</f>
        <v>3310.6477650391789</v>
      </c>
      <c r="EB15" s="83">
        <f>EB13/POWER((1+'Вхідні дані'!$B$13/12),EB1)</f>
        <v>162.25171081785666</v>
      </c>
      <c r="EC15" s="83">
        <f>EC13/POWER((1+'Вхідні дані'!$B$13/12),EC1)</f>
        <v>158.94045141341061</v>
      </c>
      <c r="ED15" s="83">
        <f>ED13/POWER((1+'Вхідні дані'!$B$13/12),ED1)</f>
        <v>155.69676873150425</v>
      </c>
      <c r="EE15" s="83">
        <f>EE13/POWER((1+'Вхідні дані'!$B$13/12),EE1)</f>
        <v>152.51928365535113</v>
      </c>
      <c r="EF15" s="83">
        <f>EF13/POWER((1+'Вхідні дані'!$B$13/12),EF1)</f>
        <v>149.40664521340526</v>
      </c>
      <c r="EG15" s="83">
        <f>EG13/POWER((1+'Вхідні дані'!$B$13/12),EG1)</f>
        <v>3139.1628037137989</v>
      </c>
      <c r="EH15" s="83">
        <f>EH13/POWER((1+'Вхідні дані'!$B$13/12),EH1)</f>
        <v>6425.6441024840451</v>
      </c>
      <c r="EI15" s="83">
        <f>EI13/POWER((1+'Вхідні дані'!$B$13/12),EI1)</f>
        <v>6499.6439685018086</v>
      </c>
      <c r="EJ15" s="83">
        <f>EJ13/POWER((1+'Вхідні дані'!$B$13/12),EJ1)</f>
        <v>6366.9981732262622</v>
      </c>
      <c r="EK15" s="83">
        <f>EK13/POWER((1+'Вхідні дані'!$B$13/12),EK1)</f>
        <v>5843.3633919187678</v>
      </c>
      <c r="EL15" s="83">
        <f>EL13/POWER((1+'Вхідні дані'!$B$13/12),EL1)</f>
        <v>6109.7725077523155</v>
      </c>
      <c r="EM15" s="83">
        <f>EM13/POWER((1+'Вхідні дані'!$B$13/12),EM1)</f>
        <v>2584.9661761599305</v>
      </c>
      <c r="EN15" s="83">
        <f>EN13/POWER((1+'Вхідні дані'!$B$13/12),EN1)</f>
        <v>126.6867435784967</v>
      </c>
      <c r="EO15" s="83">
        <f>EO13/POWER((1+'Вхідні дані'!$B$13/12),EO1)</f>
        <v>124.1012998319968</v>
      </c>
      <c r="EP15" s="83">
        <f>EP13/POWER((1+'Вхідні дані'!$B$13/12),EP1)</f>
        <v>121.56862024358871</v>
      </c>
      <c r="EQ15" s="83">
        <f>EQ13/POWER((1+'Вхідні дані'!$B$13/12),EQ1)</f>
        <v>119.08762799371958</v>
      </c>
      <c r="ER15" s="83">
        <f>ER13/POWER((1+'Вхідні дані'!$B$13/12),ER1)</f>
        <v>116.65726823874571</v>
      </c>
      <c r="ES15" s="83">
        <f>ES13/POWER((1+'Вхідні дані'!$B$13/12),ES1)</f>
        <v>2451.0700759987117</v>
      </c>
      <c r="ET15" s="83">
        <f>ET13/POWER((1+'Вхідні дані'!$B$13/12),ET1)</f>
        <v>5017.1669847717012</v>
      </c>
      <c r="EU15" s="83">
        <f>EU13/POWER((1+'Вхідні дані'!$B$13/12),EU1)</f>
        <v>5074.9463573513822</v>
      </c>
      <c r="EV15" s="83">
        <f>EV13/POWER((1+'Вхідні дані'!$B$13/12),EV1)</f>
        <v>4971.3760235278851</v>
      </c>
      <c r="EW15" s="83">
        <f>EW13/POWER((1+'Вхідні дані'!$B$13/12),EW1)</f>
        <v>4562.5200248213123</v>
      </c>
      <c r="EX15" s="83">
        <f>EX13/POWER((1+'Вхідні дані'!$B$13/12),EX1)</f>
        <v>4770.5332603949391</v>
      </c>
      <c r="EY15" s="83">
        <f>EY13/POWER((1+'Вхідні дані'!$B$13/12),EY1)</f>
        <v>2018.3512732626257</v>
      </c>
      <c r="EZ15" s="83">
        <f>EZ13/POWER((1+'Вхідні дані'!$B$13/12),EZ1)</f>
        <v>98.917483936677513</v>
      </c>
      <c r="FA15" s="83">
        <f>FA13/POWER((1+'Вхідні дані'!$B$13/12),FA1)</f>
        <v>96.898759774704516</v>
      </c>
      <c r="FB15" s="83">
        <f>FB13/POWER((1+'Вхідні дані'!$B$13/12),FB1)</f>
        <v>94.921234065016662</v>
      </c>
      <c r="FC15" s="83">
        <f>FC13/POWER((1+'Вхідні дані'!$B$13/12),FC1)</f>
        <v>92.984066022873478</v>
      </c>
      <c r="FD15" s="83">
        <f>FD13/POWER((1+'Вхідні дані'!$B$13/12),FD1)</f>
        <v>91.086432022406697</v>
      </c>
      <c r="FE15" s="83">
        <f>FE13/POWER((1+'Вхідні дані'!$B$13/12),FE1)</f>
        <v>1913.8046967009309</v>
      </c>
      <c r="FF15" s="83">
        <f>FF13/POWER((1+'Вхідні дані'!$B$13/12),FF1)</f>
        <v>3917.4227753062323</v>
      </c>
      <c r="FG15" s="83">
        <f>FG13/POWER((1+'Вхідні дані'!$B$13/12),FG1)</f>
        <v>3962.537125849788</v>
      </c>
      <c r="FH15" s="83">
        <f>FH13/POWER((1+'Вхідні дані'!$B$13/12),FH1)</f>
        <v>3881.6690212406093</v>
      </c>
      <c r="FI15" s="83">
        <f>FI13/POWER((1+'Вхідні дані'!$B$13/12),FI1)</f>
        <v>3562.4327259338888</v>
      </c>
      <c r="FJ15" s="83">
        <f>FJ13/POWER((1+'Вхідні дані'!$B$13/12),FJ1)</f>
        <v>3724.8502394578777</v>
      </c>
      <c r="FK15" s="83">
        <f>FK13/POWER((1+'Вхідні дані'!$B$13/12),FK1)</f>
        <v>1575.9362346212852</v>
      </c>
      <c r="FL15" s="83">
        <f>FL13/POWER((1+'Вхідні дані'!$B$13/12),FL1)</f>
        <v>77.235141988633956</v>
      </c>
      <c r="FM15" s="83">
        <f>FM13/POWER((1+'Вхідні дані'!$B$13/12),FM1)</f>
        <v>75.658914601110823</v>
      </c>
      <c r="FN15" s="83">
        <f>FN13/POWER((1+'Вхідні дані'!$B$13/12),FN1)</f>
        <v>74.114855119455498</v>
      </c>
      <c r="FO15" s="83">
        <f>FO13/POWER((1+'Вхідні дані'!$B$13/12),FO1)</f>
        <v>72.602307055793133</v>
      </c>
      <c r="FP15" s="83">
        <f>FP13/POWER((1+'Вхідні дані'!$B$13/12),FP1)</f>
        <v>71.120627319960661</v>
      </c>
      <c r="FQ15" s="83">
        <f>FQ13/POWER((1+'Вхідні дані'!$B$13/12),FQ1)</f>
        <v>1494.3058760252547</v>
      </c>
      <c r="FR15" s="83">
        <f>FR13/POWER((1+'Вхідні дані'!$B$13/12),FR1)</f>
        <v>3058.738377069641</v>
      </c>
      <c r="FS15" s="83">
        <f>FS13/POWER((1+'Вхідні дані'!$B$13/12),FS1)</f>
        <v>3093.9638309660136</v>
      </c>
      <c r="FT15" s="83">
        <f>FT13/POWER((1+'Вхідні дані'!$B$13/12),FT1)</f>
        <v>3030.8217119667074</v>
      </c>
      <c r="FU15" s="83">
        <f>FU13/POWER((1+'Вхідні дані'!$B$13/12),FU1)</f>
        <v>2781.5608167773007</v>
      </c>
      <c r="FV15" s="83">
        <f>FV13/POWER((1+'Вхідні дані'!$B$13/12),FV1)</f>
        <v>2908.3770197298186</v>
      </c>
      <c r="FW15" s="83">
        <f>FW13/POWER((1+'Вхідні дані'!$B$13/12),FW1)</f>
        <v>1230.4969152260912</v>
      </c>
      <c r="FX15" s="83">
        <f>FX13/POWER((1+'Вхідні дані'!$B$13/12),FX1)</f>
        <v>60.305488176621438</v>
      </c>
      <c r="FY15" s="83">
        <f>FY13/POWER((1+'Вхідні дані'!$B$13/12),FY1)</f>
        <v>59.074763928118976</v>
      </c>
      <c r="FZ15" s="83">
        <f>FZ13/POWER((1+'Вхідні дані'!$B$13/12),FZ1)</f>
        <v>57.869156501014501</v>
      </c>
      <c r="GA15" s="83">
        <f>GA13/POWER((1+'Вхідні дані'!$B$13/12),GA1)</f>
        <v>56.688153307116252</v>
      </c>
      <c r="GB15" s="83">
        <f>GB13/POWER((1+'Вхідні дані'!$B$13/12),GB1)</f>
        <v>55.531252219215936</v>
      </c>
      <c r="GC15" s="83">
        <f>GC13/POWER((1+'Вхідні дані'!$B$13/12),GC1)</f>
        <v>1166.7596254585558</v>
      </c>
      <c r="GD15" s="83">
        <f>GD13/POWER((1+'Вхідні дані'!$B$13/12),GD1)</f>
        <v>2388.274382416449</v>
      </c>
      <c r="GE15" s="83">
        <f>GE13/POWER((1+'Вхідні дані'!$B$13/12),GE1)</f>
        <v>2415.7785487682945</v>
      </c>
      <c r="GF15" s="83">
        <f>GF13/POWER((1+'Вхідні дані'!$B$13/12),GF1)</f>
        <v>2366.4769457322072</v>
      </c>
      <c r="GG15" s="83">
        <f>GG13/POWER((1+'Вхідні дані'!$B$13/12),GG1)</f>
        <v>2171.8531050723304</v>
      </c>
      <c r="GH15" s="83">
        <f>GH13/POWER((1+'Вхідні дані'!$B$13/12),GH1)</f>
        <v>2270.8716713731801</v>
      </c>
      <c r="GI15" s="83">
        <f>GI13/POWER((1+'Вхідні дані'!$B$13/12),GI1)</f>
        <v>960.77660067558929</v>
      </c>
      <c r="GJ15" s="83">
        <f>GJ13/POWER((1+'Вхідні дані'!$B$13/12),GJ1)</f>
        <v>47.086751064118182</v>
      </c>
      <c r="GK15" s="83">
        <f>GK13/POWER((1+'Вхідні дані'!$B$13/12),GK1)</f>
        <v>46.125796960768831</v>
      </c>
      <c r="GL15" s="83">
        <f>GL13/POWER((1+'Вхідні дані'!$B$13/12),GL1)</f>
        <v>45.184454165651104</v>
      </c>
      <c r="GM15" s="83">
        <f>GM13/POWER((1+'Вхідні дані'!$B$13/12),GM1)</f>
        <v>44.262322447984765</v>
      </c>
      <c r="GN15" s="83">
        <f>GN13/POWER((1+'Вхідні дані'!$B$13/12),GN1)</f>
        <v>43.359009744964673</v>
      </c>
      <c r="GO15" s="83">
        <f>GO13/POWER((1+'Вхідні дані'!$B$13/12),GO1)</f>
        <v>911.01028607424303</v>
      </c>
      <c r="GP15" s="83">
        <f>GP13/POWER((1+'Вхідні дані'!$B$13/12),GP1)</f>
        <v>1864.7735839281315</v>
      </c>
      <c r="GQ15" s="83">
        <f>GQ13/POWER((1+'Вхідні дані'!$B$13/12),GQ1)</f>
        <v>1886.2489400423613</v>
      </c>
      <c r="GR15" s="83">
        <f>GR13/POWER((1+'Вхідні дані'!$B$13/12),GR1)</f>
        <v>1847.7540637149666</v>
      </c>
      <c r="GS15" s="83">
        <f>GS13/POWER((1+'Вхідні дані'!$B$13/12),GS1)</f>
        <v>1695.7910398944102</v>
      </c>
      <c r="GT15" s="83">
        <f>GT13/POWER((1+'Вхідні дані'!$B$13/12),GT1)</f>
        <v>1773.1051073716301</v>
      </c>
      <c r="GU15" s="83">
        <f>GU13/POWER((1+'Вхідні дані'!$B$13/12),GU1)</f>
        <v>750.17796874048418</v>
      </c>
      <c r="GV15" s="83">
        <f>GV13/POWER((1+'Вхідні дані'!$B$13/12),GV1)</f>
        <v>36.765511611159788</v>
      </c>
      <c r="GW15" s="83">
        <f>GW13/POWER((1+'Вхідні дані'!$B$13/12),GW1)</f>
        <v>36.01519504766673</v>
      </c>
      <c r="GX15" s="83">
        <f>GX13/POWER((1+'Вхідні дані'!$B$13/12),GX1)</f>
        <v>35.280191067102095</v>
      </c>
      <c r="GY15" s="83">
        <f>GY13/POWER((1+'Вхідні дані'!$B$13/12),GY1)</f>
        <v>34.560187167773492</v>
      </c>
      <c r="GZ15" s="83">
        <f>GZ13/POWER((1+'Вхідні дані'!$B$13/12),GZ1)</f>
        <v>33.854877225574043</v>
      </c>
      <c r="HA15" s="83">
        <f>HA13/POWER((1+'Вхідні дані'!$B$13/12),HA1)</f>
        <v>711.32024388219133</v>
      </c>
      <c r="HB15" s="83">
        <f>HB13/POWER((1+'Вхідні дані'!$B$13/12),HB1)</f>
        <v>1456.0221995086531</v>
      </c>
      <c r="HC15" s="83">
        <f>HC13/POWER((1+'Вхідні дані'!$B$13/12),HC1)</f>
        <v>1472.7902380062844</v>
      </c>
      <c r="HD15" s="83">
        <f>HD13/POWER((1+'Вхідні дані'!$B$13/12),HD1)</f>
        <v>1442.7332943735034</v>
      </c>
      <c r="HE15" s="83">
        <f>HE13/POWER((1+'Вхідні дані'!$B$13/12),HE1)</f>
        <v>1324.0799961424618</v>
      </c>
      <c r="HF15" s="83">
        <f>HF13/POWER((1+'Вхідні дані'!$B$13/12),HF1)</f>
        <v>1384.4471096362149</v>
      </c>
      <c r="HG15" s="83">
        <f>HG13/POWER((1+'Вхідні дані'!$B$13/12),HG1)</f>
        <v>585.74176805292484</v>
      </c>
      <c r="HH15" s="83">
        <f>HH13/POWER((1+'Вхідні дані'!$B$13/12),HH1)</f>
        <v>28.706649184389612</v>
      </c>
      <c r="HI15" s="83">
        <f>HI13/POWER((1+'Вхідні дані'!$B$13/12),HI1)</f>
        <v>28.120799201034721</v>
      </c>
      <c r="HJ15" s="83">
        <f>HJ13/POWER((1+'Вхідні дані'!$B$13/12),HJ1)</f>
        <v>27.546905339789113</v>
      </c>
      <c r="HK15" s="83">
        <f>HK13/POWER((1+'Вхідні дані'!$B$13/12),HK1)</f>
        <v>26.98472359816077</v>
      </c>
      <c r="HL15" s="83">
        <f>HL13/POWER((1+'Вхідні дані'!$B$13/12),HL1)</f>
        <v>26.434014953300348</v>
      </c>
      <c r="HM15" s="83">
        <f>HM13/POWER((1+'Вхідні дані'!$B$13/12),HM1)</f>
        <v>555.40151092803967</v>
      </c>
      <c r="HN15" s="83">
        <f>HN13/POWER((1+'Вхідні дані'!$B$13/12),HN1)</f>
        <v>1136.8675874291666</v>
      </c>
      <c r="HO15" s="83">
        <f>HO13/POWER((1+'Вхідні дані'!$B$13/12),HO1)</f>
        <v>1149.9601346988131</v>
      </c>
      <c r="HP15" s="83">
        <f>HP13/POWER((1+'Вхідні дані'!$B$13/12),HP1)</f>
        <v>1126.4915605212864</v>
      </c>
      <c r="HQ15" s="83">
        <f>HQ13/POWER((1+'Вхідні дані'!$B$13/12),HQ1)</f>
        <v>1033.84662080405</v>
      </c>
      <c r="HR15" s="83">
        <f>HR13/POWER((1+'Вхідні дані'!$B$13/12),HR1)</f>
        <v>1080.9814891466242</v>
      </c>
      <c r="HS15" s="83">
        <f>HS13/POWER((1+'Вхідні дані'!$B$13/12),HS1)</f>
        <v>457.3493666013751</v>
      </c>
      <c r="HT15" s="83">
        <f>HT13/POWER((1+'Вхідні дані'!$B$13/12),HT1)</f>
        <v>22.414259214210919</v>
      </c>
      <c r="HU15" s="83">
        <f>HU13/POWER((1+'Вхідні дані'!$B$13/12),HU1)</f>
        <v>21.956825352696409</v>
      </c>
      <c r="HV15" s="83">
        <f>HV13/POWER((1+'Вхідні дані'!$B$13/12),HV1)</f>
        <v>21.508726876110771</v>
      </c>
      <c r="HW15" s="83">
        <f>HW13/POWER((1+'Вхідні дані'!$B$13/12),HW1)</f>
        <v>21.069773266394225</v>
      </c>
      <c r="HX15" s="83">
        <f>HX13/POWER((1+'Вхідні дані'!$B$13/12),HX1)</f>
        <v>20.639777893610677</v>
      </c>
      <c r="HY15" s="83">
        <f>HY13/POWER((1+'Вхідні дані'!$B$13/12),HY1)</f>
        <v>433.6595801879613</v>
      </c>
      <c r="HZ15" s="83">
        <f>HZ13/POWER((1+'Вхідні дані'!$B$13/12),HZ1)</f>
        <v>887.67047080955808</v>
      </c>
      <c r="IA15" s="83">
        <f>IA13/POWER((1+'Вхідні дані'!$B$13/12),IA1)</f>
        <v>897.89318076052427</v>
      </c>
      <c r="IB15" s="83">
        <f>IB13/POWER((1+'Вхідні дані'!$B$13/12),IB1)</f>
        <v>879.56883013275876</v>
      </c>
      <c r="IC15" s="83">
        <f>IC13/POWER((1+'Вхідні дані'!$B$13/12),IC1)</f>
        <v>807.23131416672607</v>
      </c>
      <c r="ID15" s="83">
        <f>ID13/POWER((1+'Вхідні дані'!$B$13/12),ID1)</f>
        <v>844.03439592914458</v>
      </c>
      <c r="IE15" s="83">
        <f>IE13/POWER((1+'Вхідні дані'!$B$13/12),IE1)</f>
        <v>357.10009860826494</v>
      </c>
      <c r="IF15" s="83">
        <f>IF13/POWER((1+'Вхідні дані'!$B$13/12),IF1)</f>
        <v>17.501137555094335</v>
      </c>
      <c r="IG15" s="83">
        <f>IG13/POWER((1+'Вхідні дані'!$B$13/12),IG1)</f>
        <v>17.143971482541392</v>
      </c>
    </row>
    <row r="16" spans="1:247" ht="14.25" customHeight="1" x14ac:dyDescent="0.25">
      <c r="A16" s="94" t="s">
        <v>325</v>
      </c>
      <c r="B16" s="83">
        <f>B15</f>
        <v>0</v>
      </c>
      <c r="C16" s="83">
        <f t="shared" ref="C16:BN16" si="22">B16+C15</f>
        <v>1030.8167547788421</v>
      </c>
      <c r="D16" s="83">
        <f t="shared" si="22"/>
        <v>2040.5964329295448</v>
      </c>
      <c r="E16" s="83">
        <f t="shared" si="22"/>
        <v>-120045.0925345852</v>
      </c>
      <c r="F16" s="83">
        <f t="shared" si="22"/>
        <v>-216994.23933970259</v>
      </c>
      <c r="G16" s="83">
        <f t="shared" si="22"/>
        <v>-310578.40371065901</v>
      </c>
      <c r="H16" s="83">
        <f t="shared" si="22"/>
        <v>-401787.76821357774</v>
      </c>
      <c r="I16" s="83">
        <f t="shared" si="22"/>
        <v>-493796.55099565396</v>
      </c>
      <c r="J16" s="83">
        <f t="shared" si="22"/>
        <v>-581321.07236788422</v>
      </c>
      <c r="K16" s="83">
        <f t="shared" si="22"/>
        <v>-690039.40873991605</v>
      </c>
      <c r="L16" s="83">
        <f t="shared" si="22"/>
        <v>-812796.9837645943</v>
      </c>
      <c r="M16" s="83">
        <f t="shared" si="22"/>
        <v>-933049.30215611588</v>
      </c>
      <c r="N16" s="83">
        <f t="shared" si="22"/>
        <v>-1050847.4916008716</v>
      </c>
      <c r="O16" s="83">
        <f t="shared" si="22"/>
        <v>-1166241.6363630814</v>
      </c>
      <c r="P16" s="83">
        <f t="shared" si="22"/>
        <v>-1279280.7985791236</v>
      </c>
      <c r="Q16" s="83">
        <f t="shared" si="22"/>
        <v>-1366322.861341371</v>
      </c>
      <c r="R16" s="83">
        <f t="shared" si="22"/>
        <v>-1425066.6071785816</v>
      </c>
      <c r="S16" s="83">
        <f t="shared" si="22"/>
        <v>-1480987.7083070388</v>
      </c>
      <c r="T16" s="83">
        <f t="shared" si="22"/>
        <v>-1535223.0467725205</v>
      </c>
      <c r="U16" s="83">
        <f t="shared" si="22"/>
        <v>-1593026.1169844333</v>
      </c>
      <c r="V16" s="83">
        <f t="shared" si="22"/>
        <v>-1645070.3568113679</v>
      </c>
      <c r="W16" s="83">
        <f t="shared" si="22"/>
        <v>-1721471.5681176148</v>
      </c>
      <c r="X16" s="83">
        <f t="shared" si="22"/>
        <v>-1816819.7347859999</v>
      </c>
      <c r="Y16" s="83">
        <f t="shared" si="22"/>
        <v>-1910222.0205019689</v>
      </c>
      <c r="Z16" s="83">
        <f t="shared" si="22"/>
        <v>-2001718.1371216937</v>
      </c>
      <c r="AA16" s="83">
        <f t="shared" si="22"/>
        <v>-2091346.9860553017</v>
      </c>
      <c r="AB16" s="83">
        <f t="shared" si="22"/>
        <v>-2179146.6748065911</v>
      </c>
      <c r="AC16" s="83">
        <f t="shared" si="22"/>
        <v>-2237408.4638539753</v>
      </c>
      <c r="AD16" s="83">
        <f t="shared" si="22"/>
        <v>-2263418.5819314392</v>
      </c>
      <c r="AE16" s="83">
        <f t="shared" si="22"/>
        <v>-2286996.086076695</v>
      </c>
      <c r="AF16" s="83">
        <f t="shared" si="22"/>
        <v>-2310092.4166679662</v>
      </c>
      <c r="AG16" s="83">
        <f t="shared" si="22"/>
        <v>-2338192.2825342556</v>
      </c>
      <c r="AH16" s="83">
        <f t="shared" si="22"/>
        <v>-2360355.5252174246</v>
      </c>
      <c r="AI16" s="83">
        <f t="shared" si="22"/>
        <v>-2411837.4481911082</v>
      </c>
      <c r="AJ16" s="83">
        <f t="shared" si="22"/>
        <v>-2486285.6538865026</v>
      </c>
      <c r="AK16" s="83">
        <f t="shared" si="22"/>
        <v>-2559214.5084452564</v>
      </c>
      <c r="AL16" s="83">
        <f t="shared" si="22"/>
        <v>-2630655.0190334236</v>
      </c>
      <c r="AM16" s="83">
        <f t="shared" si="22"/>
        <v>-2700637.5600177506</v>
      </c>
      <c r="AN16" s="83">
        <f t="shared" si="22"/>
        <v>-2769191.8858799483</v>
      </c>
      <c r="AO16" s="83">
        <f t="shared" si="22"/>
        <v>-2814682.9090085505</v>
      </c>
      <c r="AP16" s="83">
        <f t="shared" si="22"/>
        <v>-2834991.7066336507</v>
      </c>
      <c r="AQ16" s="83">
        <f t="shared" si="22"/>
        <v>-2853401.1101882556</v>
      </c>
      <c r="AR16" s="83">
        <f t="shared" si="22"/>
        <v>-2871434.8116295012</v>
      </c>
      <c r="AS16" s="83">
        <f t="shared" si="22"/>
        <v>-2893375.2921560151</v>
      </c>
      <c r="AT16" s="83">
        <f t="shared" si="22"/>
        <v>-2910680.4350633994</v>
      </c>
      <c r="AU16" s="83">
        <f t="shared" si="22"/>
        <v>-2950877.7133652391</v>
      </c>
      <c r="AV16" s="83">
        <f t="shared" si="22"/>
        <v>-3009007.151244631</v>
      </c>
      <c r="AW16" s="83">
        <f t="shared" si="22"/>
        <v>-3065950.2740652598</v>
      </c>
      <c r="AX16" s="83">
        <f t="shared" si="22"/>
        <v>-3121731.2923385287</v>
      </c>
      <c r="AY16" s="83">
        <f t="shared" si="22"/>
        <v>-3176373.9224837716</v>
      </c>
      <c r="AZ16" s="83">
        <f t="shared" si="22"/>
        <v>-3229901.396911765</v>
      </c>
      <c r="BA16" s="83">
        <f t="shared" si="22"/>
        <v>-3265420.9581735032</v>
      </c>
      <c r="BB16" s="83">
        <f t="shared" si="22"/>
        <v>-3281278.1434330591</v>
      </c>
      <c r="BC16" s="83">
        <f t="shared" si="22"/>
        <v>-3295652.2746875114</v>
      </c>
      <c r="BD16" s="83">
        <f t="shared" si="22"/>
        <v>-3309733.0563245257</v>
      </c>
      <c r="BE16" s="83">
        <f t="shared" si="22"/>
        <v>-3325751.6688273689</v>
      </c>
      <c r="BF16" s="83">
        <f t="shared" si="22"/>
        <v>-3339263.5892320676</v>
      </c>
      <c r="BG16" s="83">
        <f t="shared" si="22"/>
        <v>-3371717.4228531183</v>
      </c>
      <c r="BH16" s="83">
        <f t="shared" si="22"/>
        <v>-3417105.1056939834</v>
      </c>
      <c r="BI16" s="83">
        <f t="shared" si="22"/>
        <v>-3461566.5092931981</v>
      </c>
      <c r="BJ16" s="83">
        <f t="shared" si="22"/>
        <v>-3505120.5373087558</v>
      </c>
      <c r="BK16" s="83">
        <f t="shared" si="22"/>
        <v>-3547785.7076097103</v>
      </c>
      <c r="BL16" s="83">
        <f t="shared" si="22"/>
        <v>-3589580.1601494206</v>
      </c>
      <c r="BM16" s="83">
        <f t="shared" si="22"/>
        <v>-3575726.5643984578</v>
      </c>
      <c r="BN16" s="83">
        <f t="shared" si="22"/>
        <v>-3547369.2343071164</v>
      </c>
      <c r="BO16" s="83">
        <f t="shared" ref="BO16:DZ16" si="23">BN16+BO15</f>
        <v>-3518685.3317206423</v>
      </c>
      <c r="BP16" s="83">
        <f t="shared" si="23"/>
        <v>-3490586.8149012392</v>
      </c>
      <c r="BQ16" s="83">
        <f t="shared" si="23"/>
        <v>-3464799.1768208412</v>
      </c>
      <c r="BR16" s="83">
        <f t="shared" si="23"/>
        <v>-3437835.8353998065</v>
      </c>
      <c r="BS16" s="83">
        <f t="shared" si="23"/>
        <v>-3426427.9923940008</v>
      </c>
      <c r="BT16" s="83">
        <f t="shared" si="23"/>
        <v>-3425868.9048148328</v>
      </c>
      <c r="BU16" s="83">
        <f t="shared" si="23"/>
        <v>-3425321.2271862603</v>
      </c>
      <c r="BV16" s="83">
        <f t="shared" si="23"/>
        <v>-3424784.7266521482</v>
      </c>
      <c r="BW16" s="83">
        <f t="shared" si="23"/>
        <v>-3424259.1751085282</v>
      </c>
      <c r="BX16" s="83">
        <f t="shared" si="23"/>
        <v>-3423744.3491066149</v>
      </c>
      <c r="BY16" s="83">
        <f t="shared" si="23"/>
        <v>-3412927.4096506569</v>
      </c>
      <c r="BZ16" s="83">
        <f t="shared" si="23"/>
        <v>-3390785.9000927978</v>
      </c>
      <c r="CA16" s="83">
        <f t="shared" si="23"/>
        <v>-3368389.4015074451</v>
      </c>
      <c r="CB16" s="83">
        <f t="shared" si="23"/>
        <v>-3346449.9743217933</v>
      </c>
      <c r="CC16" s="83">
        <f t="shared" si="23"/>
        <v>-3326314.8899117811</v>
      </c>
      <c r="CD16" s="83">
        <f t="shared" si="23"/>
        <v>-3305261.8119293815</v>
      </c>
      <c r="CE16" s="83">
        <f t="shared" si="23"/>
        <v>-3296354.525378285</v>
      </c>
      <c r="CF16" s="83">
        <f t="shared" si="23"/>
        <v>-3295917.9877022076</v>
      </c>
      <c r="CG16" s="83">
        <f t="shared" si="23"/>
        <v>-3295490.3589582951</v>
      </c>
      <c r="CH16" s="83">
        <f t="shared" si="23"/>
        <v>-3295071.4573316053</v>
      </c>
      <c r="CI16" s="83">
        <f t="shared" si="23"/>
        <v>-3294661.1047177054</v>
      </c>
      <c r="CJ16" s="83">
        <f t="shared" si="23"/>
        <v>-3294259.1266469462</v>
      </c>
      <c r="CK16" s="83">
        <f t="shared" si="23"/>
        <v>-3285813.219801012</v>
      </c>
      <c r="CL16" s="83">
        <f t="shared" si="23"/>
        <v>-3268525.0461992784</v>
      </c>
      <c r="CM16" s="83">
        <f t="shared" si="23"/>
        <v>-3251037.7762097255</v>
      </c>
      <c r="CN16" s="83">
        <f t="shared" si="23"/>
        <v>-3233907.3892811839</v>
      </c>
      <c r="CO16" s="83">
        <f t="shared" si="23"/>
        <v>-3218185.8399506737</v>
      </c>
      <c r="CP16" s="83">
        <f t="shared" si="23"/>
        <v>-3201747.5178001695</v>
      </c>
      <c r="CQ16" s="83">
        <f t="shared" si="23"/>
        <v>-3194792.6750956406</v>
      </c>
      <c r="CR16" s="83">
        <f t="shared" si="23"/>
        <v>-3194451.8248429513</v>
      </c>
      <c r="CS16" s="83">
        <f t="shared" si="23"/>
        <v>-3194117.9307178678</v>
      </c>
      <c r="CT16" s="83">
        <f t="shared" si="23"/>
        <v>-3193790.8507586024</v>
      </c>
      <c r="CU16" s="83">
        <f t="shared" si="23"/>
        <v>-3193470.4459005464</v>
      </c>
      <c r="CV16" s="83">
        <f t="shared" si="23"/>
        <v>-3193156.5799171445</v>
      </c>
      <c r="CW16" s="83">
        <f t="shared" si="23"/>
        <v>-3186561.9842146686</v>
      </c>
      <c r="CX16" s="83">
        <f t="shared" si="23"/>
        <v>-3173063.3135073869</v>
      </c>
      <c r="CY16" s="83">
        <f t="shared" si="23"/>
        <v>-3159409.187594709</v>
      </c>
      <c r="CZ16" s="83">
        <f t="shared" si="23"/>
        <v>-3146033.7173129017</v>
      </c>
      <c r="DA16" s="83">
        <f t="shared" si="23"/>
        <v>-3133758.2727049435</v>
      </c>
      <c r="DB16" s="83">
        <f t="shared" si="23"/>
        <v>-3120923.1691942047</v>
      </c>
      <c r="DC16" s="83">
        <f t="shared" si="23"/>
        <v>-3115492.8019586531</v>
      </c>
      <c r="DD16" s="83">
        <f t="shared" si="23"/>
        <v>-3115226.6648045764</v>
      </c>
      <c r="DE16" s="83">
        <f t="shared" si="23"/>
        <v>-3114965.9590209913</v>
      </c>
      <c r="DF16" s="83">
        <f t="shared" si="23"/>
        <v>-3114710.5737636019</v>
      </c>
      <c r="DG16" s="83">
        <f t="shared" si="23"/>
        <v>-3114460.4004502408</v>
      </c>
      <c r="DH16" s="83">
        <f t="shared" si="23"/>
        <v>-3114215.3327147034</v>
      </c>
      <c r="DI16" s="83">
        <f t="shared" si="23"/>
        <v>-3109066.2476877896</v>
      </c>
      <c r="DJ16" s="83">
        <f t="shared" si="23"/>
        <v>-3098526.4350354369</v>
      </c>
      <c r="DK16" s="83">
        <f t="shared" si="23"/>
        <v>-3087865.2423763974</v>
      </c>
      <c r="DL16" s="83">
        <f t="shared" si="23"/>
        <v>-3077421.6250777463</v>
      </c>
      <c r="DM16" s="83">
        <f t="shared" si="23"/>
        <v>-3067836.911945777</v>
      </c>
      <c r="DN16" s="83">
        <f t="shared" si="23"/>
        <v>-3057815.2150461134</v>
      </c>
      <c r="DO16" s="83">
        <f t="shared" si="23"/>
        <v>-3053575.1639672089</v>
      </c>
      <c r="DP16" s="83">
        <f t="shared" si="23"/>
        <v>-3053367.363080394</v>
      </c>
      <c r="DQ16" s="83">
        <f t="shared" si="23"/>
        <v>-3053163.8030280038</v>
      </c>
      <c r="DR16" s="83">
        <f t="shared" si="23"/>
        <v>-3052964.3972623972</v>
      </c>
      <c r="DS16" s="83">
        <f t="shared" si="23"/>
        <v>-3052769.0610022112</v>
      </c>
      <c r="DT16" s="83">
        <f t="shared" si="23"/>
        <v>-3052577.7111963145</v>
      </c>
      <c r="DU16" s="83">
        <f t="shared" si="23"/>
        <v>-3048557.2863195576</v>
      </c>
      <c r="DV16" s="83">
        <f t="shared" si="23"/>
        <v>-3040327.7611199562</v>
      </c>
      <c r="DW16" s="83">
        <f t="shared" si="23"/>
        <v>-3032003.461956461</v>
      </c>
      <c r="DX16" s="83">
        <f t="shared" si="23"/>
        <v>-3023849.0464493637</v>
      </c>
      <c r="DY16" s="83">
        <f t="shared" si="23"/>
        <v>-3016365.266532945</v>
      </c>
      <c r="DZ16" s="83">
        <f t="shared" si="23"/>
        <v>-3008540.2880538316</v>
      </c>
      <c r="EA16" s="83">
        <f t="shared" ref="EA16:GL16" si="24">DZ16+EA15</f>
        <v>-3005229.6402887926</v>
      </c>
      <c r="EB16" s="83">
        <f t="shared" si="24"/>
        <v>-3005067.3885779749</v>
      </c>
      <c r="EC16" s="83">
        <f t="shared" si="24"/>
        <v>-3004908.4481265615</v>
      </c>
      <c r="ED16" s="83">
        <f t="shared" si="24"/>
        <v>-3004752.7513578301</v>
      </c>
      <c r="EE16" s="83">
        <f t="shared" si="24"/>
        <v>-3004600.2320741746</v>
      </c>
      <c r="EF16" s="83">
        <f t="shared" si="24"/>
        <v>-3004450.8254289613</v>
      </c>
      <c r="EG16" s="83">
        <f t="shared" si="24"/>
        <v>-3001311.6626252476</v>
      </c>
      <c r="EH16" s="83">
        <f t="shared" si="24"/>
        <v>-2994886.0185227636</v>
      </c>
      <c r="EI16" s="83">
        <f t="shared" si="24"/>
        <v>-2988386.374554262</v>
      </c>
      <c r="EJ16" s="83">
        <f t="shared" si="24"/>
        <v>-2982019.3763810359</v>
      </c>
      <c r="EK16" s="83">
        <f t="shared" si="24"/>
        <v>-2976176.0129891173</v>
      </c>
      <c r="EL16" s="83">
        <f t="shared" si="24"/>
        <v>-2970066.240481365</v>
      </c>
      <c r="EM16" s="83">
        <f t="shared" si="24"/>
        <v>-2967481.2743052049</v>
      </c>
      <c r="EN16" s="83">
        <f t="shared" si="24"/>
        <v>-2967354.5875616265</v>
      </c>
      <c r="EO16" s="83">
        <f t="shared" si="24"/>
        <v>-2967230.4862617943</v>
      </c>
      <c r="EP16" s="83">
        <f t="shared" si="24"/>
        <v>-2967108.9176415508</v>
      </c>
      <c r="EQ16" s="83">
        <f t="shared" si="24"/>
        <v>-2966989.8300135569</v>
      </c>
      <c r="ER16" s="83">
        <f t="shared" si="24"/>
        <v>-2966873.1727453182</v>
      </c>
      <c r="ES16" s="83">
        <f t="shared" si="24"/>
        <v>-2964422.1026693196</v>
      </c>
      <c r="ET16" s="83">
        <f t="shared" si="24"/>
        <v>-2959404.9356845478</v>
      </c>
      <c r="EU16" s="83">
        <f t="shared" si="24"/>
        <v>-2954329.9893271965</v>
      </c>
      <c r="EV16" s="83">
        <f t="shared" si="24"/>
        <v>-2949358.6133036688</v>
      </c>
      <c r="EW16" s="83">
        <f t="shared" si="24"/>
        <v>-2944796.0932788476</v>
      </c>
      <c r="EX16" s="83">
        <f t="shared" si="24"/>
        <v>-2940025.5600184528</v>
      </c>
      <c r="EY16" s="83">
        <f t="shared" si="24"/>
        <v>-2938007.2087451904</v>
      </c>
      <c r="EZ16" s="83">
        <f t="shared" si="24"/>
        <v>-2937908.2912612539</v>
      </c>
      <c r="FA16" s="83">
        <f t="shared" si="24"/>
        <v>-2937811.392501479</v>
      </c>
      <c r="FB16" s="83">
        <f t="shared" si="24"/>
        <v>-2937716.4712674138</v>
      </c>
      <c r="FC16" s="83">
        <f t="shared" si="24"/>
        <v>-2937623.4872013908</v>
      </c>
      <c r="FD16" s="83">
        <f t="shared" si="24"/>
        <v>-2937532.4007693683</v>
      </c>
      <c r="FE16" s="83">
        <f t="shared" si="24"/>
        <v>-2935618.5960726673</v>
      </c>
      <c r="FF16" s="83">
        <f t="shared" si="24"/>
        <v>-2931701.173297361</v>
      </c>
      <c r="FG16" s="83">
        <f t="shared" si="24"/>
        <v>-2927738.6361715114</v>
      </c>
      <c r="FH16" s="83">
        <f t="shared" si="24"/>
        <v>-2923856.9671502709</v>
      </c>
      <c r="FI16" s="83">
        <f t="shared" si="24"/>
        <v>-2920294.5344243371</v>
      </c>
      <c r="FJ16" s="83">
        <f t="shared" si="24"/>
        <v>-2916569.6841848791</v>
      </c>
      <c r="FK16" s="83">
        <f t="shared" si="24"/>
        <v>-2914993.7479502577</v>
      </c>
      <c r="FL16" s="83">
        <f t="shared" si="24"/>
        <v>-2914916.5128082689</v>
      </c>
      <c r="FM16" s="83">
        <f t="shared" si="24"/>
        <v>-2914840.8538936679</v>
      </c>
      <c r="FN16" s="83">
        <f t="shared" si="24"/>
        <v>-2914766.7390385484</v>
      </c>
      <c r="FO16" s="83">
        <f t="shared" si="24"/>
        <v>-2914694.1367314928</v>
      </c>
      <c r="FP16" s="83">
        <f t="shared" si="24"/>
        <v>-2914623.0161041729</v>
      </c>
      <c r="FQ16" s="83">
        <f t="shared" si="24"/>
        <v>-2913128.7102281475</v>
      </c>
      <c r="FR16" s="83">
        <f t="shared" si="24"/>
        <v>-2910069.9718510779</v>
      </c>
      <c r="FS16" s="83">
        <f t="shared" si="24"/>
        <v>-2906976.0080201118</v>
      </c>
      <c r="FT16" s="83">
        <f t="shared" si="24"/>
        <v>-2903945.1863081451</v>
      </c>
      <c r="FU16" s="83">
        <f t="shared" si="24"/>
        <v>-2901163.6254913677</v>
      </c>
      <c r="FV16" s="83">
        <f t="shared" si="24"/>
        <v>-2898255.2484716377</v>
      </c>
      <c r="FW16" s="83">
        <f t="shared" si="24"/>
        <v>-2897024.7515564119</v>
      </c>
      <c r="FX16" s="83">
        <f t="shared" si="24"/>
        <v>-2896964.4460682352</v>
      </c>
      <c r="FY16" s="83">
        <f t="shared" si="24"/>
        <v>-2896905.3713043071</v>
      </c>
      <c r="FZ16" s="83">
        <f t="shared" si="24"/>
        <v>-2896847.5021478063</v>
      </c>
      <c r="GA16" s="83">
        <f t="shared" si="24"/>
        <v>-2896790.8139944994</v>
      </c>
      <c r="GB16" s="83">
        <f t="shared" si="24"/>
        <v>-2896735.28274228</v>
      </c>
      <c r="GC16" s="83">
        <f t="shared" si="24"/>
        <v>-2895568.5231168214</v>
      </c>
      <c r="GD16" s="83">
        <f t="shared" si="24"/>
        <v>-2893180.2487344048</v>
      </c>
      <c r="GE16" s="83">
        <f t="shared" si="24"/>
        <v>-2890764.4701856365</v>
      </c>
      <c r="GF16" s="83">
        <f t="shared" si="24"/>
        <v>-2888397.9932399043</v>
      </c>
      <c r="GG16" s="83">
        <f t="shared" si="24"/>
        <v>-2886226.1401348319</v>
      </c>
      <c r="GH16" s="83">
        <f t="shared" si="24"/>
        <v>-2883955.2684634589</v>
      </c>
      <c r="GI16" s="83">
        <f t="shared" si="24"/>
        <v>-2882994.4918627832</v>
      </c>
      <c r="GJ16" s="83">
        <f t="shared" si="24"/>
        <v>-2882947.4051117189</v>
      </c>
      <c r="GK16" s="83">
        <f t="shared" si="24"/>
        <v>-2882901.2793147583</v>
      </c>
      <c r="GL16" s="83">
        <f t="shared" si="24"/>
        <v>-2882856.0948605924</v>
      </c>
      <c r="GM16" s="83">
        <f t="shared" ref="GM16:IG16" si="25">GL16+GM15</f>
        <v>-2882811.8325381442</v>
      </c>
      <c r="GN16" s="83">
        <f t="shared" si="25"/>
        <v>-2882768.4735283991</v>
      </c>
      <c r="GO16" s="83">
        <f t="shared" si="25"/>
        <v>-2881857.463242325</v>
      </c>
      <c r="GP16" s="83">
        <f t="shared" si="25"/>
        <v>-2879992.6896583969</v>
      </c>
      <c r="GQ16" s="83">
        <f t="shared" si="25"/>
        <v>-2878106.4407183547</v>
      </c>
      <c r="GR16" s="83">
        <f t="shared" si="25"/>
        <v>-2876258.6866546399</v>
      </c>
      <c r="GS16" s="83">
        <f t="shared" si="25"/>
        <v>-2874562.8956147456</v>
      </c>
      <c r="GT16" s="83">
        <f t="shared" si="25"/>
        <v>-2872789.7905073739</v>
      </c>
      <c r="GU16" s="83">
        <f t="shared" si="25"/>
        <v>-2872039.6125386334</v>
      </c>
      <c r="GV16" s="83">
        <f t="shared" si="25"/>
        <v>-2872002.8470270224</v>
      </c>
      <c r="GW16" s="83">
        <f t="shared" si="25"/>
        <v>-2871966.8318319749</v>
      </c>
      <c r="GX16" s="83">
        <f t="shared" si="25"/>
        <v>-2871931.5516409078</v>
      </c>
      <c r="GY16" s="83">
        <f t="shared" si="25"/>
        <v>-2871896.9914537398</v>
      </c>
      <c r="GZ16" s="83">
        <f t="shared" si="25"/>
        <v>-2871863.1365765142</v>
      </c>
      <c r="HA16" s="83">
        <f t="shared" si="25"/>
        <v>-2871151.8163326322</v>
      </c>
      <c r="HB16" s="83">
        <f t="shared" si="25"/>
        <v>-2869695.7941331235</v>
      </c>
      <c r="HC16" s="83">
        <f t="shared" si="25"/>
        <v>-2868223.003895117</v>
      </c>
      <c r="HD16" s="83">
        <f t="shared" si="25"/>
        <v>-2866780.2706007436</v>
      </c>
      <c r="HE16" s="83">
        <f t="shared" si="25"/>
        <v>-2865456.1906046011</v>
      </c>
      <c r="HF16" s="83">
        <f t="shared" si="25"/>
        <v>-2864071.7434949647</v>
      </c>
      <c r="HG16" s="83">
        <f t="shared" si="25"/>
        <v>-2863486.0017269119</v>
      </c>
      <c r="HH16" s="83">
        <f t="shared" si="25"/>
        <v>-2863457.2950777276</v>
      </c>
      <c r="HI16" s="83">
        <f t="shared" si="25"/>
        <v>-2863429.1742785266</v>
      </c>
      <c r="HJ16" s="83">
        <f t="shared" si="25"/>
        <v>-2863401.6273731869</v>
      </c>
      <c r="HK16" s="83">
        <f t="shared" si="25"/>
        <v>-2863374.6426495886</v>
      </c>
      <c r="HL16" s="83">
        <f t="shared" si="25"/>
        <v>-2863348.2086346354</v>
      </c>
      <c r="HM16" s="83">
        <f t="shared" si="25"/>
        <v>-2862792.8071237076</v>
      </c>
      <c r="HN16" s="83">
        <f t="shared" si="25"/>
        <v>-2861655.9395362786</v>
      </c>
      <c r="HO16" s="83">
        <f t="shared" si="25"/>
        <v>-2860505.9794015796</v>
      </c>
      <c r="HP16" s="83">
        <f t="shared" si="25"/>
        <v>-2859379.4878410585</v>
      </c>
      <c r="HQ16" s="83">
        <f t="shared" si="25"/>
        <v>-2858345.6412202544</v>
      </c>
      <c r="HR16" s="83">
        <f t="shared" si="25"/>
        <v>-2857264.6597311078</v>
      </c>
      <c r="HS16" s="83">
        <f t="shared" si="25"/>
        <v>-2856807.3103645062</v>
      </c>
      <c r="HT16" s="83">
        <f t="shared" si="25"/>
        <v>-2856784.8961052918</v>
      </c>
      <c r="HU16" s="83">
        <f t="shared" si="25"/>
        <v>-2856762.939279939</v>
      </c>
      <c r="HV16" s="83">
        <f t="shared" si="25"/>
        <v>-2856741.4305530628</v>
      </c>
      <c r="HW16" s="83">
        <f t="shared" si="25"/>
        <v>-2856720.3607797963</v>
      </c>
      <c r="HX16" s="83">
        <f t="shared" si="25"/>
        <v>-2856699.7210019026</v>
      </c>
      <c r="HY16" s="83">
        <f t="shared" si="25"/>
        <v>-2856266.0614217147</v>
      </c>
      <c r="HZ16" s="83">
        <f t="shared" si="25"/>
        <v>-2855378.3909509052</v>
      </c>
      <c r="IA16" s="83">
        <f t="shared" si="25"/>
        <v>-2854480.4977701446</v>
      </c>
      <c r="IB16" s="83">
        <f t="shared" si="25"/>
        <v>-2853600.9289400117</v>
      </c>
      <c r="IC16" s="83">
        <f t="shared" si="25"/>
        <v>-2852793.6976258447</v>
      </c>
      <c r="ID16" s="83">
        <f t="shared" si="25"/>
        <v>-2851949.6632299158</v>
      </c>
      <c r="IE16" s="83">
        <f t="shared" si="25"/>
        <v>-2851592.5631313077</v>
      </c>
      <c r="IF16" s="83">
        <f t="shared" si="25"/>
        <v>-2851575.0619937526</v>
      </c>
      <c r="IG16" s="83">
        <f t="shared" si="25"/>
        <v>-2851557.9180222698</v>
      </c>
    </row>
    <row r="17" spans="1:241" x14ac:dyDescent="0.25">
      <c r="A17" s="95" t="s">
        <v>311</v>
      </c>
      <c r="B17" s="101">
        <f>NPV('Вхідні дані'!B13/12,B13:IG13)</f>
        <v>-2851557.9180222661</v>
      </c>
      <c r="C17" s="93"/>
    </row>
    <row r="18" spans="1:241" x14ac:dyDescent="0.25">
      <c r="A18" s="95" t="s">
        <v>310</v>
      </c>
      <c r="B18" s="100">
        <f>IRR(B13:IG13,0)*12</f>
        <v>4.2714843164572081E-2</v>
      </c>
      <c r="C18" s="93"/>
      <c r="L18" s="84"/>
    </row>
    <row r="19" spans="1:241" x14ac:dyDescent="0.25">
      <c r="A19" s="95" t="s">
        <v>309</v>
      </c>
      <c r="B19" s="99">
        <f>(COUNTIF(B14:IG14,"&lt;0")+ABS(INDEX(B14:IG14,,COUNTIF(B14:IG14,"&lt;0")))/INDEX(B13:IG13,,COUNTIF(B14:IG14,"&lt;0")+1))/12</f>
        <v>15.137396467605717</v>
      </c>
      <c r="C19" s="98">
        <f>(B19*12)</f>
        <v>181.64875761126859</v>
      </c>
      <c r="K19" s="84"/>
      <c r="L19" s="84"/>
    </row>
    <row r="20" spans="1:241" x14ac:dyDescent="0.25">
      <c r="A20" s="95" t="s">
        <v>308</v>
      </c>
      <c r="B20" s="99">
        <f>IFERROR((COUNTIF(B16:IG16,"&lt;0")+ABS(INDEX(B16:IG16,,COUNTIF(B16:IG16,"&lt;0")))/INDEX(B15:IG15,,COUNTIF(B16:IG16,"&lt;0")+1))/12,"більше 20")</f>
        <v>685.28460181633693</v>
      </c>
      <c r="C20" s="98">
        <f>IFERROR((COUNTIF(B16:IG16,"&lt;0")+ABS(INDEX(B16:IG16,,COUNTIF(B16:IG16,"&lt;0")))/INDEX(B15:IG15,,COUNTIF(B16:IG16,"&lt;0")+1)),"більше 240")</f>
        <v>8223.4152217960436</v>
      </c>
      <c r="L20" s="84"/>
    </row>
    <row r="21" spans="1:241" ht="32.25" customHeight="1" x14ac:dyDescent="0.25">
      <c r="A21" s="97" t="s">
        <v>609</v>
      </c>
    </row>
    <row r="22" spans="1:241" ht="30" outlineLevel="1" x14ac:dyDescent="0.25">
      <c r="A22" s="94" t="s">
        <v>324</v>
      </c>
      <c r="E22" s="83">
        <f>'Вхідні дані'!B31</f>
        <v>-125552.50352272364</v>
      </c>
      <c r="F22" s="83">
        <f t="shared" ref="F22:AK22" si="26">E22</f>
        <v>-125552.50352272364</v>
      </c>
      <c r="G22" s="83">
        <f t="shared" si="26"/>
        <v>-125552.50352272364</v>
      </c>
      <c r="H22" s="83">
        <f t="shared" si="26"/>
        <v>-125552.50352272364</v>
      </c>
      <c r="I22" s="83">
        <f t="shared" si="26"/>
        <v>-125552.50352272364</v>
      </c>
      <c r="J22" s="83">
        <f t="shared" si="26"/>
        <v>-125552.50352272364</v>
      </c>
      <c r="K22" s="83">
        <f t="shared" si="26"/>
        <v>-125552.50352272364</v>
      </c>
      <c r="L22" s="83">
        <f t="shared" si="26"/>
        <v>-125552.50352272364</v>
      </c>
      <c r="M22" s="83">
        <f t="shared" si="26"/>
        <v>-125552.50352272364</v>
      </c>
      <c r="N22" s="83">
        <f t="shared" si="26"/>
        <v>-125552.50352272364</v>
      </c>
      <c r="O22" s="83">
        <f t="shared" si="26"/>
        <v>-125552.50352272364</v>
      </c>
      <c r="P22" s="83">
        <f t="shared" si="26"/>
        <v>-125552.50352272364</v>
      </c>
      <c r="Q22" s="83">
        <f t="shared" si="26"/>
        <v>-125552.50352272364</v>
      </c>
      <c r="R22" s="83">
        <f t="shared" si="26"/>
        <v>-125552.50352272364</v>
      </c>
      <c r="S22" s="83">
        <f t="shared" si="26"/>
        <v>-125552.50352272364</v>
      </c>
      <c r="T22" s="83">
        <f t="shared" si="26"/>
        <v>-125552.50352272364</v>
      </c>
      <c r="U22" s="83">
        <f t="shared" si="26"/>
        <v>-125552.50352272364</v>
      </c>
      <c r="V22" s="83">
        <f t="shared" si="26"/>
        <v>-125552.50352272364</v>
      </c>
      <c r="W22" s="83">
        <f t="shared" si="26"/>
        <v>-125552.50352272364</v>
      </c>
      <c r="X22" s="83">
        <f t="shared" si="26"/>
        <v>-125552.50352272364</v>
      </c>
      <c r="Y22" s="83">
        <f t="shared" si="26"/>
        <v>-125552.50352272364</v>
      </c>
      <c r="Z22" s="83">
        <f t="shared" si="26"/>
        <v>-125552.50352272364</v>
      </c>
      <c r="AA22" s="83">
        <f t="shared" si="26"/>
        <v>-125552.50352272364</v>
      </c>
      <c r="AB22" s="83">
        <f t="shared" si="26"/>
        <v>-125552.50352272364</v>
      </c>
      <c r="AC22" s="83">
        <f t="shared" si="26"/>
        <v>-125552.50352272364</v>
      </c>
      <c r="AD22" s="83">
        <f t="shared" si="26"/>
        <v>-125552.50352272364</v>
      </c>
      <c r="AE22" s="83">
        <f t="shared" si="26"/>
        <v>-125552.50352272364</v>
      </c>
      <c r="AF22" s="83">
        <f t="shared" si="26"/>
        <v>-125552.50352272364</v>
      </c>
      <c r="AG22" s="83">
        <f t="shared" si="26"/>
        <v>-125552.50352272364</v>
      </c>
      <c r="AH22" s="83">
        <f t="shared" si="26"/>
        <v>-125552.50352272364</v>
      </c>
      <c r="AI22" s="83">
        <f t="shared" si="26"/>
        <v>-125552.50352272364</v>
      </c>
      <c r="AJ22" s="83">
        <f t="shared" si="26"/>
        <v>-125552.50352272364</v>
      </c>
      <c r="AK22" s="83">
        <f t="shared" si="26"/>
        <v>-125552.50352272364</v>
      </c>
      <c r="AL22" s="83">
        <f t="shared" ref="AL22:BL22" si="27">AK22</f>
        <v>-125552.50352272364</v>
      </c>
      <c r="AM22" s="83">
        <f t="shared" si="27"/>
        <v>-125552.50352272364</v>
      </c>
      <c r="AN22" s="83">
        <f t="shared" si="27"/>
        <v>-125552.50352272364</v>
      </c>
      <c r="AO22" s="83">
        <f t="shared" si="27"/>
        <v>-125552.50352272364</v>
      </c>
      <c r="AP22" s="83">
        <f t="shared" si="27"/>
        <v>-125552.50352272364</v>
      </c>
      <c r="AQ22" s="83">
        <f t="shared" si="27"/>
        <v>-125552.50352272364</v>
      </c>
      <c r="AR22" s="83">
        <f t="shared" si="27"/>
        <v>-125552.50352272364</v>
      </c>
      <c r="AS22" s="83">
        <f t="shared" si="27"/>
        <v>-125552.50352272364</v>
      </c>
      <c r="AT22" s="83">
        <f t="shared" si="27"/>
        <v>-125552.50352272364</v>
      </c>
      <c r="AU22" s="83">
        <f t="shared" si="27"/>
        <v>-125552.50352272364</v>
      </c>
      <c r="AV22" s="83">
        <f t="shared" si="27"/>
        <v>-125552.50352272364</v>
      </c>
      <c r="AW22" s="83">
        <f t="shared" si="27"/>
        <v>-125552.50352272364</v>
      </c>
      <c r="AX22" s="83">
        <f t="shared" si="27"/>
        <v>-125552.50352272364</v>
      </c>
      <c r="AY22" s="83">
        <f t="shared" si="27"/>
        <v>-125552.50352272364</v>
      </c>
      <c r="AZ22" s="83">
        <f t="shared" si="27"/>
        <v>-125552.50352272364</v>
      </c>
      <c r="BA22" s="83">
        <f t="shared" si="27"/>
        <v>-125552.50352272364</v>
      </c>
      <c r="BB22" s="83">
        <f t="shared" si="27"/>
        <v>-125552.50352272364</v>
      </c>
      <c r="BC22" s="83">
        <f t="shared" si="27"/>
        <v>-125552.50352272364</v>
      </c>
      <c r="BD22" s="83">
        <f t="shared" si="27"/>
        <v>-125552.50352272364</v>
      </c>
      <c r="BE22" s="83">
        <f t="shared" si="27"/>
        <v>-125552.50352272364</v>
      </c>
      <c r="BF22" s="83">
        <f t="shared" si="27"/>
        <v>-125552.50352272364</v>
      </c>
      <c r="BG22" s="83">
        <f t="shared" si="27"/>
        <v>-125552.50352272364</v>
      </c>
      <c r="BH22" s="83">
        <f t="shared" si="27"/>
        <v>-125552.50352272364</v>
      </c>
      <c r="BI22" s="83">
        <f t="shared" si="27"/>
        <v>-125552.50352272364</v>
      </c>
      <c r="BJ22" s="83">
        <f t="shared" si="27"/>
        <v>-125552.50352272364</v>
      </c>
      <c r="BK22" s="83">
        <f t="shared" si="27"/>
        <v>-125552.50352272364</v>
      </c>
      <c r="BL22" s="83">
        <f t="shared" si="27"/>
        <v>-125552.50352272364</v>
      </c>
    </row>
    <row r="23" spans="1:241" ht="30" outlineLevel="1" x14ac:dyDescent="0.25">
      <c r="A23" s="94" t="s">
        <v>323</v>
      </c>
      <c r="E23" s="83">
        <f t="shared" ref="E23:AJ23" si="28">-E6+E22</f>
        <v>30069.758167486769</v>
      </c>
      <c r="F23" s="83">
        <f t="shared" si="28"/>
        <v>30069.758167486769</v>
      </c>
      <c r="G23" s="83">
        <f t="shared" si="28"/>
        <v>30069.758167486769</v>
      </c>
      <c r="H23" s="83">
        <f t="shared" si="28"/>
        <v>30069.758167486769</v>
      </c>
      <c r="I23" s="83">
        <f t="shared" si="28"/>
        <v>30069.758167486769</v>
      </c>
      <c r="J23" s="83">
        <f t="shared" si="28"/>
        <v>30069.758167486769</v>
      </c>
      <c r="K23" s="83">
        <f t="shared" si="28"/>
        <v>30069.758167486769</v>
      </c>
      <c r="L23" s="83">
        <f t="shared" si="28"/>
        <v>30069.758167486769</v>
      </c>
      <c r="M23" s="83">
        <f t="shared" si="28"/>
        <v>30069.758167486769</v>
      </c>
      <c r="N23" s="83">
        <f t="shared" si="28"/>
        <v>30069.758167486769</v>
      </c>
      <c r="O23" s="83">
        <f t="shared" si="28"/>
        <v>30069.758167486769</v>
      </c>
      <c r="P23" s="83">
        <f t="shared" si="28"/>
        <v>30069.758167486769</v>
      </c>
      <c r="Q23" s="83">
        <f t="shared" si="28"/>
        <v>30069.758167486769</v>
      </c>
      <c r="R23" s="83">
        <f t="shared" si="28"/>
        <v>30069.758167486769</v>
      </c>
      <c r="S23" s="83">
        <f t="shared" si="28"/>
        <v>30069.758167486769</v>
      </c>
      <c r="T23" s="83">
        <f t="shared" si="28"/>
        <v>30069.758167486769</v>
      </c>
      <c r="U23" s="83">
        <f t="shared" si="28"/>
        <v>30069.758167486769</v>
      </c>
      <c r="V23" s="83">
        <f t="shared" si="28"/>
        <v>30069.758167486769</v>
      </c>
      <c r="W23" s="83">
        <f t="shared" si="28"/>
        <v>30069.758167486769</v>
      </c>
      <c r="X23" s="83">
        <f t="shared" si="28"/>
        <v>30069.758167486769</v>
      </c>
      <c r="Y23" s="83">
        <f t="shared" si="28"/>
        <v>30069.758167486769</v>
      </c>
      <c r="Z23" s="83">
        <f t="shared" si="28"/>
        <v>30069.758167486769</v>
      </c>
      <c r="AA23" s="83">
        <f t="shared" si="28"/>
        <v>30069.758167486769</v>
      </c>
      <c r="AB23" s="83">
        <f t="shared" si="28"/>
        <v>30069.758167486769</v>
      </c>
      <c r="AC23" s="83">
        <f t="shared" si="28"/>
        <v>30069.758167486769</v>
      </c>
      <c r="AD23" s="83">
        <f t="shared" si="28"/>
        <v>30069.758167486769</v>
      </c>
      <c r="AE23" s="83">
        <f t="shared" si="28"/>
        <v>30069.758167486769</v>
      </c>
      <c r="AF23" s="83">
        <f t="shared" si="28"/>
        <v>30069.758167486769</v>
      </c>
      <c r="AG23" s="83">
        <f t="shared" si="28"/>
        <v>30069.758167486769</v>
      </c>
      <c r="AH23" s="83">
        <f t="shared" si="28"/>
        <v>30069.758167486769</v>
      </c>
      <c r="AI23" s="83">
        <f t="shared" si="28"/>
        <v>30069.758167486769</v>
      </c>
      <c r="AJ23" s="83">
        <f t="shared" si="28"/>
        <v>30069.758167486769</v>
      </c>
      <c r="AK23" s="83">
        <f t="shared" ref="AK23:BL23" si="29">-AK6+AK22</f>
        <v>30069.758167486769</v>
      </c>
      <c r="AL23" s="83">
        <f t="shared" si="29"/>
        <v>30069.758167486769</v>
      </c>
      <c r="AM23" s="83">
        <f t="shared" si="29"/>
        <v>30069.758167486769</v>
      </c>
      <c r="AN23" s="83">
        <f t="shared" si="29"/>
        <v>30069.758167486769</v>
      </c>
      <c r="AO23" s="83">
        <f t="shared" si="29"/>
        <v>30069.758167486769</v>
      </c>
      <c r="AP23" s="83">
        <f t="shared" si="29"/>
        <v>30069.758167486769</v>
      </c>
      <c r="AQ23" s="83">
        <f t="shared" si="29"/>
        <v>30069.758167486769</v>
      </c>
      <c r="AR23" s="83">
        <f t="shared" si="29"/>
        <v>30069.758167486769</v>
      </c>
      <c r="AS23" s="83">
        <f t="shared" si="29"/>
        <v>30069.758167486769</v>
      </c>
      <c r="AT23" s="83">
        <f t="shared" si="29"/>
        <v>30069.758167486769</v>
      </c>
      <c r="AU23" s="83">
        <f t="shared" si="29"/>
        <v>30069.758167486769</v>
      </c>
      <c r="AV23" s="83">
        <f t="shared" si="29"/>
        <v>30069.758167486769</v>
      </c>
      <c r="AW23" s="83">
        <f t="shared" si="29"/>
        <v>30069.758167486769</v>
      </c>
      <c r="AX23" s="83">
        <f t="shared" si="29"/>
        <v>30069.758167486769</v>
      </c>
      <c r="AY23" s="83">
        <f t="shared" si="29"/>
        <v>30069.758167486769</v>
      </c>
      <c r="AZ23" s="83">
        <f t="shared" si="29"/>
        <v>30069.758167486769</v>
      </c>
      <c r="BA23" s="83">
        <f t="shared" si="29"/>
        <v>30069.758167486769</v>
      </c>
      <c r="BB23" s="83">
        <f t="shared" si="29"/>
        <v>30069.758167486769</v>
      </c>
      <c r="BC23" s="83">
        <f t="shared" si="29"/>
        <v>30069.758167486769</v>
      </c>
      <c r="BD23" s="83">
        <f t="shared" si="29"/>
        <v>30069.758167486769</v>
      </c>
      <c r="BE23" s="83">
        <f t="shared" si="29"/>
        <v>30069.758167486769</v>
      </c>
      <c r="BF23" s="83">
        <f t="shared" si="29"/>
        <v>30069.758167486769</v>
      </c>
      <c r="BG23" s="83">
        <f t="shared" si="29"/>
        <v>30069.758167486769</v>
      </c>
      <c r="BH23" s="83">
        <f t="shared" si="29"/>
        <v>30069.758167486769</v>
      </c>
      <c r="BI23" s="83">
        <f t="shared" si="29"/>
        <v>30069.758167486769</v>
      </c>
      <c r="BJ23" s="83">
        <f t="shared" si="29"/>
        <v>30069.758167486769</v>
      </c>
      <c r="BK23" s="83">
        <f t="shared" si="29"/>
        <v>30069.758167486769</v>
      </c>
      <c r="BL23" s="83">
        <f t="shared" si="29"/>
        <v>30069.758167486769</v>
      </c>
    </row>
    <row r="24" spans="1:241" ht="60" outlineLevel="1" x14ac:dyDescent="0.25">
      <c r="A24" s="94" t="s">
        <v>322</v>
      </c>
      <c r="B24" s="83">
        <f t="shared" ref="B24:BM24" si="30">B5+B22+B9</f>
        <v>0</v>
      </c>
      <c r="C24" s="83">
        <f t="shared" si="30"/>
        <v>0</v>
      </c>
      <c r="D24" s="83">
        <f t="shared" si="30"/>
        <v>0</v>
      </c>
      <c r="E24" s="83">
        <f t="shared" si="30"/>
        <v>-144264.43485319574</v>
      </c>
      <c r="F24" s="83">
        <f t="shared" si="30"/>
        <v>-165649.49923087814</v>
      </c>
      <c r="G24" s="83">
        <f t="shared" si="30"/>
        <v>-166986.06575448331</v>
      </c>
      <c r="H24" s="83">
        <f t="shared" si="30"/>
        <v>-166986.06575448331</v>
      </c>
      <c r="I24" s="83">
        <f t="shared" si="30"/>
        <v>-164312.93270727299</v>
      </c>
      <c r="J24" s="83">
        <f t="shared" si="30"/>
        <v>-166986.06575448331</v>
      </c>
      <c r="K24" s="83">
        <f t="shared" si="30"/>
        <v>-142927.86832959059</v>
      </c>
      <c r="L24" s="83">
        <f t="shared" si="30"/>
        <v>-125552.50352272364</v>
      </c>
      <c r="M24" s="83">
        <f t="shared" si="30"/>
        <v>-125552.50352272364</v>
      </c>
      <c r="N24" s="83">
        <f t="shared" si="30"/>
        <v>-125552.50352272364</v>
      </c>
      <c r="O24" s="83">
        <f t="shared" si="30"/>
        <v>-125552.50352272364</v>
      </c>
      <c r="P24" s="83">
        <f t="shared" si="30"/>
        <v>-125552.50352272364</v>
      </c>
      <c r="Q24" s="83">
        <f t="shared" si="30"/>
        <v>-153620.40051843179</v>
      </c>
      <c r="R24" s="83">
        <f t="shared" si="30"/>
        <v>-185697.99708495539</v>
      </c>
      <c r="S24" s="83">
        <f t="shared" si="30"/>
        <v>-187702.84687036311</v>
      </c>
      <c r="T24" s="83">
        <f t="shared" si="30"/>
        <v>-187702.84687036311</v>
      </c>
      <c r="U24" s="83">
        <f t="shared" si="30"/>
        <v>-181688.29751413994</v>
      </c>
      <c r="V24" s="83">
        <f t="shared" si="30"/>
        <v>-187702.84687036311</v>
      </c>
      <c r="W24" s="83">
        <f t="shared" si="30"/>
        <v>-153620.40051843179</v>
      </c>
      <c r="X24" s="83">
        <f t="shared" si="30"/>
        <v>-125552.50352272364</v>
      </c>
      <c r="Y24" s="83">
        <f t="shared" si="30"/>
        <v>-125552.50352272364</v>
      </c>
      <c r="Z24" s="83">
        <f t="shared" si="30"/>
        <v>-125552.50352272364</v>
      </c>
      <c r="AA24" s="83">
        <f t="shared" si="30"/>
        <v>-125552.50352272364</v>
      </c>
      <c r="AB24" s="83">
        <f t="shared" si="30"/>
        <v>-125552.50352272364</v>
      </c>
      <c r="AC24" s="83">
        <f t="shared" si="30"/>
        <v>-167654.34901628585</v>
      </c>
      <c r="AD24" s="83">
        <f t="shared" si="30"/>
        <v>-215770.74386607128</v>
      </c>
      <c r="AE24" s="83">
        <f t="shared" si="30"/>
        <v>-218778.01854418288</v>
      </c>
      <c r="AF24" s="83">
        <f t="shared" si="30"/>
        <v>-218778.01854418288</v>
      </c>
      <c r="AG24" s="83">
        <f t="shared" si="30"/>
        <v>-209756.19450984808</v>
      </c>
      <c r="AH24" s="83">
        <f t="shared" si="30"/>
        <v>-218778.01854418288</v>
      </c>
      <c r="AI24" s="83">
        <f t="shared" si="30"/>
        <v>-167654.34901628585</v>
      </c>
      <c r="AJ24" s="83">
        <f t="shared" si="30"/>
        <v>-125552.50352272364</v>
      </c>
      <c r="AK24" s="83">
        <f t="shared" si="30"/>
        <v>-125552.50352272364</v>
      </c>
      <c r="AL24" s="83">
        <f t="shared" si="30"/>
        <v>-125552.50352272364</v>
      </c>
      <c r="AM24" s="83">
        <f t="shared" si="30"/>
        <v>-125552.50352272364</v>
      </c>
      <c r="AN24" s="83">
        <f t="shared" si="30"/>
        <v>-125552.50352272364</v>
      </c>
      <c r="AO24" s="83">
        <f t="shared" si="30"/>
        <v>-167654.34901628585</v>
      </c>
      <c r="AP24" s="83">
        <f t="shared" si="30"/>
        <v>-215770.74386607128</v>
      </c>
      <c r="AQ24" s="83">
        <f t="shared" si="30"/>
        <v>-218778.01854418288</v>
      </c>
      <c r="AR24" s="83">
        <f t="shared" si="30"/>
        <v>-218778.01854418288</v>
      </c>
      <c r="AS24" s="83">
        <f t="shared" si="30"/>
        <v>-209756.19450984808</v>
      </c>
      <c r="AT24" s="83">
        <f t="shared" si="30"/>
        <v>-218778.01854418288</v>
      </c>
      <c r="AU24" s="83">
        <f t="shared" si="30"/>
        <v>-167654.34901628585</v>
      </c>
      <c r="AV24" s="83">
        <f t="shared" si="30"/>
        <v>-125552.50352272364</v>
      </c>
      <c r="AW24" s="83">
        <f t="shared" si="30"/>
        <v>-125552.50352272364</v>
      </c>
      <c r="AX24" s="83">
        <f t="shared" si="30"/>
        <v>-125552.50352272364</v>
      </c>
      <c r="AY24" s="83">
        <f t="shared" si="30"/>
        <v>-125552.50352272364</v>
      </c>
      <c r="AZ24" s="83">
        <f t="shared" si="30"/>
        <v>-125552.50352272364</v>
      </c>
      <c r="BA24" s="83">
        <f t="shared" si="30"/>
        <v>-167654.34901628585</v>
      </c>
      <c r="BB24" s="83">
        <f t="shared" si="30"/>
        <v>-215770.74386607128</v>
      </c>
      <c r="BC24" s="83">
        <f t="shared" si="30"/>
        <v>-218778.01854418288</v>
      </c>
      <c r="BD24" s="83">
        <f t="shared" si="30"/>
        <v>-218778.01854418288</v>
      </c>
      <c r="BE24" s="83">
        <f t="shared" si="30"/>
        <v>-212763.46918795968</v>
      </c>
      <c r="BF24" s="83">
        <f t="shared" si="30"/>
        <v>-218778.01854418288</v>
      </c>
      <c r="BG24" s="83">
        <f t="shared" si="30"/>
        <v>-164647.07433817428</v>
      </c>
      <c r="BH24" s="83">
        <f t="shared" si="30"/>
        <v>-125552.50352272364</v>
      </c>
      <c r="BI24" s="83">
        <f t="shared" si="30"/>
        <v>-125552.50352272364</v>
      </c>
      <c r="BJ24" s="83">
        <f t="shared" si="30"/>
        <v>-125552.50352272364</v>
      </c>
      <c r="BK24" s="83">
        <f t="shared" si="30"/>
        <v>-125552.50352272364</v>
      </c>
      <c r="BL24" s="83">
        <f t="shared" si="30"/>
        <v>-125552.50352272364</v>
      </c>
      <c r="BM24" s="83">
        <f t="shared" si="30"/>
        <v>-42101.845493562229</v>
      </c>
      <c r="BN24" s="83">
        <f t="shared" ref="BN24:DY24" si="31">BN5+BN22+BN9</f>
        <v>-90218.240343347643</v>
      </c>
      <c r="BO24" s="83">
        <f t="shared" si="31"/>
        <v>-93225.515021459229</v>
      </c>
      <c r="BP24" s="83">
        <f t="shared" si="31"/>
        <v>-93225.515021459229</v>
      </c>
      <c r="BQ24" s="83">
        <f t="shared" si="31"/>
        <v>-87210.965665236057</v>
      </c>
      <c r="BR24" s="83">
        <f t="shared" si="31"/>
        <v>-93225.515021459229</v>
      </c>
      <c r="BS24" s="83">
        <f t="shared" si="31"/>
        <v>-39094.570815450643</v>
      </c>
      <c r="BT24" s="83">
        <f t="shared" si="31"/>
        <v>0</v>
      </c>
      <c r="BU24" s="83">
        <f t="shared" si="31"/>
        <v>0</v>
      </c>
      <c r="BV24" s="83">
        <f t="shared" si="31"/>
        <v>0</v>
      </c>
      <c r="BW24" s="83">
        <f t="shared" si="31"/>
        <v>0</v>
      </c>
      <c r="BX24" s="83">
        <f t="shared" si="31"/>
        <v>0</v>
      </c>
      <c r="BY24" s="83">
        <f t="shared" si="31"/>
        <v>-42101.845493562229</v>
      </c>
      <c r="BZ24" s="83">
        <f t="shared" si="31"/>
        <v>-90218.240343347643</v>
      </c>
      <c r="CA24" s="83">
        <f t="shared" si="31"/>
        <v>-93225.515021459229</v>
      </c>
      <c r="CB24" s="83">
        <f t="shared" si="31"/>
        <v>-93225.515021459229</v>
      </c>
      <c r="CC24" s="83">
        <f t="shared" si="31"/>
        <v>-87210.965665236057</v>
      </c>
      <c r="CD24" s="83">
        <f t="shared" si="31"/>
        <v>-93225.515021459229</v>
      </c>
      <c r="CE24" s="83">
        <f t="shared" si="31"/>
        <v>-39094.570815450643</v>
      </c>
      <c r="CF24" s="83">
        <f t="shared" si="31"/>
        <v>0</v>
      </c>
      <c r="CG24" s="83">
        <f t="shared" si="31"/>
        <v>0</v>
      </c>
      <c r="CH24" s="83">
        <f t="shared" si="31"/>
        <v>0</v>
      </c>
      <c r="CI24" s="83">
        <f t="shared" si="31"/>
        <v>0</v>
      </c>
      <c r="CJ24" s="83">
        <f t="shared" si="31"/>
        <v>0</v>
      </c>
      <c r="CK24" s="83">
        <f t="shared" si="31"/>
        <v>-42101.845493562229</v>
      </c>
      <c r="CL24" s="83">
        <f t="shared" si="31"/>
        <v>-90218.240343347643</v>
      </c>
      <c r="CM24" s="83">
        <f t="shared" si="31"/>
        <v>-93225.515021459229</v>
      </c>
      <c r="CN24" s="83">
        <f t="shared" si="31"/>
        <v>-93225.515021459229</v>
      </c>
      <c r="CO24" s="83">
        <f t="shared" si="31"/>
        <v>-87210.965665236057</v>
      </c>
      <c r="CP24" s="83">
        <f t="shared" si="31"/>
        <v>-93225.515021459229</v>
      </c>
      <c r="CQ24" s="83">
        <f t="shared" si="31"/>
        <v>-39094.570815450643</v>
      </c>
      <c r="CR24" s="83">
        <f t="shared" si="31"/>
        <v>0</v>
      </c>
      <c r="CS24" s="83">
        <f t="shared" si="31"/>
        <v>0</v>
      </c>
      <c r="CT24" s="83">
        <f t="shared" si="31"/>
        <v>0</v>
      </c>
      <c r="CU24" s="83">
        <f t="shared" si="31"/>
        <v>0</v>
      </c>
      <c r="CV24" s="83">
        <f t="shared" si="31"/>
        <v>0</v>
      </c>
      <c r="CW24" s="83">
        <f t="shared" si="31"/>
        <v>-42101.845493562229</v>
      </c>
      <c r="CX24" s="83">
        <f t="shared" si="31"/>
        <v>-90218.240343347643</v>
      </c>
      <c r="CY24" s="83">
        <f t="shared" si="31"/>
        <v>-93225.515021459229</v>
      </c>
      <c r="CZ24" s="83">
        <f t="shared" si="31"/>
        <v>-93225.515021459229</v>
      </c>
      <c r="DA24" s="83">
        <f t="shared" si="31"/>
        <v>-87210.965665236057</v>
      </c>
      <c r="DB24" s="83">
        <f t="shared" si="31"/>
        <v>-93225.515021459229</v>
      </c>
      <c r="DC24" s="83">
        <f t="shared" si="31"/>
        <v>-39094.570815450643</v>
      </c>
      <c r="DD24" s="83">
        <f t="shared" si="31"/>
        <v>0</v>
      </c>
      <c r="DE24" s="83">
        <f t="shared" si="31"/>
        <v>0</v>
      </c>
      <c r="DF24" s="83">
        <f t="shared" si="31"/>
        <v>0</v>
      </c>
      <c r="DG24" s="83">
        <f t="shared" si="31"/>
        <v>0</v>
      </c>
      <c r="DH24" s="83">
        <f t="shared" si="31"/>
        <v>0</v>
      </c>
      <c r="DI24" s="83">
        <f t="shared" si="31"/>
        <v>-42101.845493562229</v>
      </c>
      <c r="DJ24" s="83">
        <f t="shared" si="31"/>
        <v>-90218.240343347643</v>
      </c>
      <c r="DK24" s="83">
        <f t="shared" si="31"/>
        <v>-93225.515021459229</v>
      </c>
      <c r="DL24" s="83">
        <f t="shared" si="31"/>
        <v>-93225.515021459229</v>
      </c>
      <c r="DM24" s="83">
        <f t="shared" si="31"/>
        <v>-87210.965665236057</v>
      </c>
      <c r="DN24" s="83">
        <f t="shared" si="31"/>
        <v>-93225.515021459229</v>
      </c>
      <c r="DO24" s="83">
        <f t="shared" si="31"/>
        <v>-39094.570815450643</v>
      </c>
      <c r="DP24" s="83">
        <f t="shared" si="31"/>
        <v>0</v>
      </c>
      <c r="DQ24" s="83">
        <f t="shared" si="31"/>
        <v>0</v>
      </c>
      <c r="DR24" s="83">
        <f t="shared" si="31"/>
        <v>0</v>
      </c>
      <c r="DS24" s="83">
        <f t="shared" si="31"/>
        <v>0</v>
      </c>
      <c r="DT24" s="83">
        <f t="shared" si="31"/>
        <v>0</v>
      </c>
      <c r="DU24" s="83">
        <f t="shared" si="31"/>
        <v>-42101.845493562229</v>
      </c>
      <c r="DV24" s="83">
        <f t="shared" si="31"/>
        <v>-90218.240343347643</v>
      </c>
      <c r="DW24" s="83">
        <f t="shared" si="31"/>
        <v>-93225.515021459229</v>
      </c>
      <c r="DX24" s="83">
        <f t="shared" si="31"/>
        <v>-93225.515021459229</v>
      </c>
      <c r="DY24" s="83">
        <f t="shared" si="31"/>
        <v>-87210.965665236057</v>
      </c>
      <c r="DZ24" s="83">
        <f t="shared" ref="DZ24:GK24" si="32">DZ5+DZ22+DZ9</f>
        <v>-93225.515021459229</v>
      </c>
      <c r="EA24" s="83">
        <f t="shared" si="32"/>
        <v>-39094.570815450643</v>
      </c>
      <c r="EB24" s="83">
        <f t="shared" si="32"/>
        <v>0</v>
      </c>
      <c r="EC24" s="83">
        <f t="shared" si="32"/>
        <v>0</v>
      </c>
      <c r="ED24" s="83">
        <f t="shared" si="32"/>
        <v>0</v>
      </c>
      <c r="EE24" s="83">
        <f t="shared" si="32"/>
        <v>0</v>
      </c>
      <c r="EF24" s="83">
        <f t="shared" si="32"/>
        <v>0</v>
      </c>
      <c r="EG24" s="83">
        <f t="shared" si="32"/>
        <v>-42101.845493562229</v>
      </c>
      <c r="EH24" s="83">
        <f t="shared" si="32"/>
        <v>-90218.240343347643</v>
      </c>
      <c r="EI24" s="83">
        <f t="shared" si="32"/>
        <v>-93225.515021459229</v>
      </c>
      <c r="EJ24" s="83">
        <f t="shared" si="32"/>
        <v>-93225.515021459229</v>
      </c>
      <c r="EK24" s="83">
        <f t="shared" si="32"/>
        <v>-87210.965665236057</v>
      </c>
      <c r="EL24" s="83">
        <f t="shared" si="32"/>
        <v>-93225.515021459229</v>
      </c>
      <c r="EM24" s="83">
        <f t="shared" si="32"/>
        <v>-39094.570815450643</v>
      </c>
      <c r="EN24" s="83">
        <f t="shared" si="32"/>
        <v>0</v>
      </c>
      <c r="EO24" s="83">
        <f t="shared" si="32"/>
        <v>0</v>
      </c>
      <c r="EP24" s="83">
        <f t="shared" si="32"/>
        <v>0</v>
      </c>
      <c r="EQ24" s="83">
        <f t="shared" si="32"/>
        <v>0</v>
      </c>
      <c r="ER24" s="83">
        <f t="shared" si="32"/>
        <v>0</v>
      </c>
      <c r="ES24" s="83">
        <f t="shared" si="32"/>
        <v>-42101.845493562229</v>
      </c>
      <c r="ET24" s="83">
        <f t="shared" si="32"/>
        <v>-90218.240343347643</v>
      </c>
      <c r="EU24" s="83">
        <f t="shared" si="32"/>
        <v>-93225.515021459229</v>
      </c>
      <c r="EV24" s="83">
        <f t="shared" si="32"/>
        <v>-93225.515021459229</v>
      </c>
      <c r="EW24" s="83">
        <f t="shared" si="32"/>
        <v>-87210.965665236057</v>
      </c>
      <c r="EX24" s="83">
        <f t="shared" si="32"/>
        <v>-93225.515021459229</v>
      </c>
      <c r="EY24" s="83">
        <f t="shared" si="32"/>
        <v>-39094.570815450643</v>
      </c>
      <c r="EZ24" s="83">
        <f t="shared" si="32"/>
        <v>0</v>
      </c>
      <c r="FA24" s="83">
        <f t="shared" si="32"/>
        <v>0</v>
      </c>
      <c r="FB24" s="83">
        <f t="shared" si="32"/>
        <v>0</v>
      </c>
      <c r="FC24" s="83">
        <f t="shared" si="32"/>
        <v>0</v>
      </c>
      <c r="FD24" s="83">
        <f t="shared" si="32"/>
        <v>0</v>
      </c>
      <c r="FE24" s="83">
        <f t="shared" si="32"/>
        <v>-42101.845493562229</v>
      </c>
      <c r="FF24" s="83">
        <f t="shared" si="32"/>
        <v>-90218.240343347643</v>
      </c>
      <c r="FG24" s="83">
        <f t="shared" si="32"/>
        <v>-93225.515021459229</v>
      </c>
      <c r="FH24" s="83">
        <f t="shared" si="32"/>
        <v>-93225.515021459229</v>
      </c>
      <c r="FI24" s="83">
        <f t="shared" si="32"/>
        <v>-87210.965665236057</v>
      </c>
      <c r="FJ24" s="83">
        <f t="shared" si="32"/>
        <v>-93225.515021459229</v>
      </c>
      <c r="FK24" s="83">
        <f t="shared" si="32"/>
        <v>-39094.570815450643</v>
      </c>
      <c r="FL24" s="83">
        <f t="shared" si="32"/>
        <v>0</v>
      </c>
      <c r="FM24" s="83">
        <f t="shared" si="32"/>
        <v>0</v>
      </c>
      <c r="FN24" s="83">
        <f t="shared" si="32"/>
        <v>0</v>
      </c>
      <c r="FO24" s="83">
        <f t="shared" si="32"/>
        <v>0</v>
      </c>
      <c r="FP24" s="83">
        <f t="shared" si="32"/>
        <v>0</v>
      </c>
      <c r="FQ24" s="83">
        <f t="shared" si="32"/>
        <v>-42101.845493562229</v>
      </c>
      <c r="FR24" s="83">
        <f t="shared" si="32"/>
        <v>-90218.240343347643</v>
      </c>
      <c r="FS24" s="83">
        <f t="shared" si="32"/>
        <v>-93225.515021459229</v>
      </c>
      <c r="FT24" s="83">
        <f t="shared" si="32"/>
        <v>-93225.515021459229</v>
      </c>
      <c r="FU24" s="83">
        <f t="shared" si="32"/>
        <v>-87210.965665236057</v>
      </c>
      <c r="FV24" s="83">
        <f t="shared" si="32"/>
        <v>-93225.515021459229</v>
      </c>
      <c r="FW24" s="83">
        <f t="shared" si="32"/>
        <v>-39094.570815450643</v>
      </c>
      <c r="FX24" s="83">
        <f t="shared" si="32"/>
        <v>0</v>
      </c>
      <c r="FY24" s="83">
        <f t="shared" si="32"/>
        <v>0</v>
      </c>
      <c r="FZ24" s="83">
        <f t="shared" si="32"/>
        <v>0</v>
      </c>
      <c r="GA24" s="83">
        <f t="shared" si="32"/>
        <v>0</v>
      </c>
      <c r="GB24" s="83">
        <f t="shared" si="32"/>
        <v>0</v>
      </c>
      <c r="GC24" s="83">
        <f t="shared" si="32"/>
        <v>-42101.845493562229</v>
      </c>
      <c r="GD24" s="83">
        <f t="shared" si="32"/>
        <v>-90218.240343347643</v>
      </c>
      <c r="GE24" s="83">
        <f t="shared" si="32"/>
        <v>-93225.515021459229</v>
      </c>
      <c r="GF24" s="83">
        <f t="shared" si="32"/>
        <v>-93225.515021459229</v>
      </c>
      <c r="GG24" s="83">
        <f t="shared" si="32"/>
        <v>-87210.965665236057</v>
      </c>
      <c r="GH24" s="83">
        <f t="shared" si="32"/>
        <v>-93225.515021459229</v>
      </c>
      <c r="GI24" s="83">
        <f t="shared" si="32"/>
        <v>-39094.570815450643</v>
      </c>
      <c r="GJ24" s="83">
        <f t="shared" si="32"/>
        <v>0</v>
      </c>
      <c r="GK24" s="83">
        <f t="shared" si="32"/>
        <v>0</v>
      </c>
      <c r="GL24" s="83">
        <f t="shared" ref="GL24:IG24" si="33">GL5+GL22+GL9</f>
        <v>0</v>
      </c>
      <c r="GM24" s="83">
        <f t="shared" si="33"/>
        <v>0</v>
      </c>
      <c r="GN24" s="83">
        <f t="shared" si="33"/>
        <v>0</v>
      </c>
      <c r="GO24" s="83">
        <f t="shared" si="33"/>
        <v>-42101.845493562229</v>
      </c>
      <c r="GP24" s="83">
        <f t="shared" si="33"/>
        <v>-90218.240343347643</v>
      </c>
      <c r="GQ24" s="83">
        <f t="shared" si="33"/>
        <v>-93225.515021459229</v>
      </c>
      <c r="GR24" s="83">
        <f t="shared" si="33"/>
        <v>-93225.515021459229</v>
      </c>
      <c r="GS24" s="83">
        <f t="shared" si="33"/>
        <v>-87210.965665236057</v>
      </c>
      <c r="GT24" s="83">
        <f t="shared" si="33"/>
        <v>-93225.515021459229</v>
      </c>
      <c r="GU24" s="83">
        <f t="shared" si="33"/>
        <v>-39094.570815450643</v>
      </c>
      <c r="GV24" s="83">
        <f t="shared" si="33"/>
        <v>0</v>
      </c>
      <c r="GW24" s="83">
        <f t="shared" si="33"/>
        <v>0</v>
      </c>
      <c r="GX24" s="83">
        <f t="shared" si="33"/>
        <v>0</v>
      </c>
      <c r="GY24" s="83">
        <f t="shared" si="33"/>
        <v>0</v>
      </c>
      <c r="GZ24" s="83">
        <f t="shared" si="33"/>
        <v>0</v>
      </c>
      <c r="HA24" s="83">
        <f t="shared" si="33"/>
        <v>-42101.845493562229</v>
      </c>
      <c r="HB24" s="83">
        <f t="shared" si="33"/>
        <v>-90218.240343347643</v>
      </c>
      <c r="HC24" s="83">
        <f t="shared" si="33"/>
        <v>-93225.515021459229</v>
      </c>
      <c r="HD24" s="83">
        <f t="shared" si="33"/>
        <v>-93225.515021459229</v>
      </c>
      <c r="HE24" s="83">
        <f t="shared" si="33"/>
        <v>-87210.965665236057</v>
      </c>
      <c r="HF24" s="83">
        <f t="shared" si="33"/>
        <v>-93225.515021459229</v>
      </c>
      <c r="HG24" s="83">
        <f t="shared" si="33"/>
        <v>-39094.570815450643</v>
      </c>
      <c r="HH24" s="83">
        <f t="shared" si="33"/>
        <v>0</v>
      </c>
      <c r="HI24" s="83">
        <f t="shared" si="33"/>
        <v>0</v>
      </c>
      <c r="HJ24" s="83">
        <f t="shared" si="33"/>
        <v>0</v>
      </c>
      <c r="HK24" s="83">
        <f t="shared" si="33"/>
        <v>0</v>
      </c>
      <c r="HL24" s="83">
        <f t="shared" si="33"/>
        <v>0</v>
      </c>
      <c r="HM24" s="83">
        <f t="shared" si="33"/>
        <v>-42101.845493562229</v>
      </c>
      <c r="HN24" s="83">
        <f t="shared" si="33"/>
        <v>-90218.240343347643</v>
      </c>
      <c r="HO24" s="83">
        <f t="shared" si="33"/>
        <v>-93225.515021459229</v>
      </c>
      <c r="HP24" s="83">
        <f t="shared" si="33"/>
        <v>-93225.515021459229</v>
      </c>
      <c r="HQ24" s="83">
        <f t="shared" si="33"/>
        <v>-87210.965665236057</v>
      </c>
      <c r="HR24" s="83">
        <f t="shared" si="33"/>
        <v>-93225.515021459229</v>
      </c>
      <c r="HS24" s="83">
        <f t="shared" si="33"/>
        <v>-39094.570815450643</v>
      </c>
      <c r="HT24" s="83">
        <f t="shared" si="33"/>
        <v>0</v>
      </c>
      <c r="HU24" s="83">
        <f t="shared" si="33"/>
        <v>0</v>
      </c>
      <c r="HV24" s="83">
        <f t="shared" si="33"/>
        <v>0</v>
      </c>
      <c r="HW24" s="83">
        <f t="shared" si="33"/>
        <v>0</v>
      </c>
      <c r="HX24" s="83">
        <f t="shared" si="33"/>
        <v>0</v>
      </c>
      <c r="HY24" s="83">
        <f t="shared" si="33"/>
        <v>-42101.845493562229</v>
      </c>
      <c r="HZ24" s="83">
        <f t="shared" si="33"/>
        <v>-90218.240343347643</v>
      </c>
      <c r="IA24" s="83">
        <f t="shared" si="33"/>
        <v>-93225.515021459229</v>
      </c>
      <c r="IB24" s="83">
        <f t="shared" si="33"/>
        <v>-93225.515021459229</v>
      </c>
      <c r="IC24" s="83">
        <f t="shared" si="33"/>
        <v>-87210.965665236057</v>
      </c>
      <c r="ID24" s="83">
        <f t="shared" si="33"/>
        <v>-93225.515021459229</v>
      </c>
      <c r="IE24" s="83">
        <f t="shared" si="33"/>
        <v>-39094.570815450643</v>
      </c>
      <c r="IF24" s="83">
        <f t="shared" si="33"/>
        <v>0</v>
      </c>
      <c r="IG24" s="83">
        <f t="shared" si="33"/>
        <v>0</v>
      </c>
    </row>
    <row r="25" spans="1:241" ht="60" outlineLevel="1" x14ac:dyDescent="0.25">
      <c r="A25" s="94" t="s">
        <v>321</v>
      </c>
      <c r="B25" s="83">
        <f t="shared" ref="B25:BM25" si="34">B5+B22+B10+B11</f>
        <v>0</v>
      </c>
      <c r="C25" s="83">
        <f t="shared" si="34"/>
        <v>1074.2148559999996</v>
      </c>
      <c r="D25" s="83">
        <f t="shared" si="34"/>
        <v>1074.2148559999996</v>
      </c>
      <c r="E25" s="83">
        <f t="shared" si="34"/>
        <v>-102512.1084092129</v>
      </c>
      <c r="F25" s="83">
        <f t="shared" si="34"/>
        <v>-77407.902400629217</v>
      </c>
      <c r="G25" s="83">
        <f t="shared" si="34"/>
        <v>-75838.889525092731</v>
      </c>
      <c r="H25" s="83">
        <f t="shared" si="34"/>
        <v>-75301.782097092742</v>
      </c>
      <c r="I25" s="83">
        <f t="shared" si="34"/>
        <v>-78439.807848165714</v>
      </c>
      <c r="J25" s="83">
        <f t="shared" si="34"/>
        <v>-75301.782097092742</v>
      </c>
      <c r="K25" s="83">
        <f t="shared" si="34"/>
        <v>-103544.0138567494</v>
      </c>
      <c r="L25" s="83">
        <f t="shared" si="34"/>
        <v>-123941.18123872364</v>
      </c>
      <c r="M25" s="83">
        <f t="shared" si="34"/>
        <v>-123941.18123872364</v>
      </c>
      <c r="N25" s="83">
        <f t="shared" si="34"/>
        <v>-123941.18123872364</v>
      </c>
      <c r="O25" s="83">
        <f t="shared" si="34"/>
        <v>-123941.18123872364</v>
      </c>
      <c r="P25" s="83">
        <f t="shared" si="34"/>
        <v>-123941.18123872364</v>
      </c>
      <c r="Q25" s="83">
        <f t="shared" si="34"/>
        <v>-90991.910852457542</v>
      </c>
      <c r="R25" s="83">
        <f t="shared" si="34"/>
        <v>-53335.601839582007</v>
      </c>
      <c r="S25" s="83">
        <f t="shared" si="34"/>
        <v>-50982.082526277292</v>
      </c>
      <c r="T25" s="83">
        <f t="shared" si="34"/>
        <v>-50176.421384277295</v>
      </c>
      <c r="U25" s="83">
        <f t="shared" si="34"/>
        <v>-57236.979324191438</v>
      </c>
      <c r="V25" s="83">
        <f t="shared" si="34"/>
        <v>-50176.421384277295</v>
      </c>
      <c r="W25" s="83">
        <f t="shared" si="34"/>
        <v>-90186.24971045753</v>
      </c>
      <c r="X25" s="83">
        <f t="shared" si="34"/>
        <v>-123135.52009672363</v>
      </c>
      <c r="Y25" s="83">
        <f t="shared" si="34"/>
        <v>-123135.52009672363</v>
      </c>
      <c r="Z25" s="83">
        <f t="shared" si="34"/>
        <v>-123135.52009672363</v>
      </c>
      <c r="AA25" s="83">
        <f t="shared" si="34"/>
        <v>-123135.52009672363</v>
      </c>
      <c r="AB25" s="83">
        <f t="shared" si="34"/>
        <v>-123135.52009672363</v>
      </c>
      <c r="AC25" s="83">
        <f t="shared" si="34"/>
        <v>-73711.614517324488</v>
      </c>
      <c r="AD25" s="83">
        <f t="shared" si="34"/>
        <v>-17227.150998011195</v>
      </c>
      <c r="AE25" s="83">
        <f t="shared" si="34"/>
        <v>-13696.872028054124</v>
      </c>
      <c r="AF25" s="83">
        <f t="shared" si="34"/>
        <v>-13696.872028054124</v>
      </c>
      <c r="AG25" s="83">
        <f t="shared" si="34"/>
        <v>-24287.708937925352</v>
      </c>
      <c r="AH25" s="83">
        <f t="shared" si="34"/>
        <v>-13696.872028054124</v>
      </c>
      <c r="AI25" s="83">
        <f t="shared" si="34"/>
        <v>-73711.614517324488</v>
      </c>
      <c r="AJ25" s="83">
        <f t="shared" si="34"/>
        <v>-123135.52009672363</v>
      </c>
      <c r="AK25" s="83">
        <f t="shared" si="34"/>
        <v>-123135.52009672363</v>
      </c>
      <c r="AL25" s="83">
        <f t="shared" si="34"/>
        <v>-123135.52009672363</v>
      </c>
      <c r="AM25" s="83">
        <f t="shared" si="34"/>
        <v>-123135.52009672363</v>
      </c>
      <c r="AN25" s="83">
        <f t="shared" si="34"/>
        <v>-123135.52009672363</v>
      </c>
      <c r="AO25" s="83">
        <f t="shared" si="34"/>
        <v>-73711.614517324488</v>
      </c>
      <c r="AP25" s="83">
        <f t="shared" si="34"/>
        <v>-17227.150998011195</v>
      </c>
      <c r="AQ25" s="83">
        <f t="shared" si="34"/>
        <v>-13696.872028054124</v>
      </c>
      <c r="AR25" s="83">
        <f t="shared" si="34"/>
        <v>-13696.872028054124</v>
      </c>
      <c r="AS25" s="83">
        <f t="shared" si="34"/>
        <v>-24287.708937925352</v>
      </c>
      <c r="AT25" s="83">
        <f t="shared" si="34"/>
        <v>-13696.872028054124</v>
      </c>
      <c r="AU25" s="83">
        <f t="shared" si="34"/>
        <v>-73711.614517324488</v>
      </c>
      <c r="AV25" s="83">
        <f t="shared" si="34"/>
        <v>-123135.52009672363</v>
      </c>
      <c r="AW25" s="83">
        <f t="shared" si="34"/>
        <v>-123135.52009672363</v>
      </c>
      <c r="AX25" s="83">
        <f t="shared" si="34"/>
        <v>-123135.52009672363</v>
      </c>
      <c r="AY25" s="83">
        <f t="shared" si="34"/>
        <v>-123135.52009672363</v>
      </c>
      <c r="AZ25" s="83">
        <f t="shared" si="34"/>
        <v>-123135.52009672363</v>
      </c>
      <c r="BA25" s="83">
        <f t="shared" si="34"/>
        <v>-73711.614517324488</v>
      </c>
      <c r="BB25" s="83">
        <f t="shared" si="34"/>
        <v>-17227.150998011195</v>
      </c>
      <c r="BC25" s="83">
        <f t="shared" si="34"/>
        <v>-13696.872028054124</v>
      </c>
      <c r="BD25" s="83">
        <f t="shared" si="34"/>
        <v>-13696.872028054124</v>
      </c>
      <c r="BE25" s="83">
        <f t="shared" si="34"/>
        <v>-20757.429967968295</v>
      </c>
      <c r="BF25" s="83">
        <f t="shared" si="34"/>
        <v>-13696.872028054124</v>
      </c>
      <c r="BG25" s="83">
        <f t="shared" si="34"/>
        <v>-77241.893487281573</v>
      </c>
      <c r="BH25" s="83">
        <f t="shared" si="34"/>
        <v>-123135.52009672363</v>
      </c>
      <c r="BI25" s="83">
        <f t="shared" si="34"/>
        <v>-123135.52009672363</v>
      </c>
      <c r="BJ25" s="83">
        <f t="shared" si="34"/>
        <v>-123135.52009672363</v>
      </c>
      <c r="BK25" s="83">
        <f t="shared" si="34"/>
        <v>-123135.52009672363</v>
      </c>
      <c r="BL25" s="83">
        <f t="shared" si="34"/>
        <v>-123135.52009672363</v>
      </c>
      <c r="BM25" s="83">
        <f t="shared" si="34"/>
        <v>51840.889005399142</v>
      </c>
      <c r="BN25" s="83">
        <f t="shared" ref="BN25:DY25" si="35">BN5+BN22+BN10+BN11</f>
        <v>108325.35252471245</v>
      </c>
      <c r="BO25" s="83">
        <f t="shared" si="35"/>
        <v>111855.63149466952</v>
      </c>
      <c r="BP25" s="83">
        <f t="shared" si="35"/>
        <v>111855.63149466952</v>
      </c>
      <c r="BQ25" s="83">
        <f t="shared" si="35"/>
        <v>104795.07355475535</v>
      </c>
      <c r="BR25" s="83">
        <f t="shared" si="35"/>
        <v>111855.63149466952</v>
      </c>
      <c r="BS25" s="83">
        <f t="shared" si="35"/>
        <v>48310.610035442056</v>
      </c>
      <c r="BT25" s="83">
        <f t="shared" si="35"/>
        <v>2416.9834259999993</v>
      </c>
      <c r="BU25" s="83">
        <f t="shared" si="35"/>
        <v>2416.9834259999993</v>
      </c>
      <c r="BV25" s="83">
        <f t="shared" si="35"/>
        <v>2416.9834259999993</v>
      </c>
      <c r="BW25" s="83">
        <f t="shared" si="35"/>
        <v>2416.9834259999993</v>
      </c>
      <c r="BX25" s="83">
        <f t="shared" si="35"/>
        <v>2416.9834259999993</v>
      </c>
      <c r="BY25" s="83">
        <f t="shared" si="35"/>
        <v>51840.889005399142</v>
      </c>
      <c r="BZ25" s="83">
        <f t="shared" si="35"/>
        <v>108325.35252471245</v>
      </c>
      <c r="CA25" s="83">
        <f t="shared" si="35"/>
        <v>111855.63149466952</v>
      </c>
      <c r="CB25" s="83">
        <f t="shared" si="35"/>
        <v>111855.63149466952</v>
      </c>
      <c r="CC25" s="83">
        <f t="shared" si="35"/>
        <v>104795.07355475535</v>
      </c>
      <c r="CD25" s="83">
        <f t="shared" si="35"/>
        <v>111855.63149466952</v>
      </c>
      <c r="CE25" s="83">
        <f t="shared" si="35"/>
        <v>48310.610035442056</v>
      </c>
      <c r="CF25" s="83">
        <f t="shared" si="35"/>
        <v>2416.9834259999993</v>
      </c>
      <c r="CG25" s="83">
        <f t="shared" si="35"/>
        <v>2416.9834259999993</v>
      </c>
      <c r="CH25" s="83">
        <f t="shared" si="35"/>
        <v>2416.9834259999993</v>
      </c>
      <c r="CI25" s="83">
        <f t="shared" si="35"/>
        <v>2416.9834259999993</v>
      </c>
      <c r="CJ25" s="83">
        <f t="shared" si="35"/>
        <v>2416.9834259999993</v>
      </c>
      <c r="CK25" s="83">
        <f t="shared" si="35"/>
        <v>51840.889005399142</v>
      </c>
      <c r="CL25" s="83">
        <f t="shared" si="35"/>
        <v>108325.35252471245</v>
      </c>
      <c r="CM25" s="83">
        <f t="shared" si="35"/>
        <v>111855.63149466952</v>
      </c>
      <c r="CN25" s="83">
        <f t="shared" si="35"/>
        <v>111855.63149466952</v>
      </c>
      <c r="CO25" s="83">
        <f t="shared" si="35"/>
        <v>104795.07355475535</v>
      </c>
      <c r="CP25" s="83">
        <f t="shared" si="35"/>
        <v>111855.63149466952</v>
      </c>
      <c r="CQ25" s="83">
        <f t="shared" si="35"/>
        <v>48310.610035442056</v>
      </c>
      <c r="CR25" s="83">
        <f t="shared" si="35"/>
        <v>2416.9834259999993</v>
      </c>
      <c r="CS25" s="83">
        <f t="shared" si="35"/>
        <v>2416.9834259999993</v>
      </c>
      <c r="CT25" s="83">
        <f t="shared" si="35"/>
        <v>2416.9834259999993</v>
      </c>
      <c r="CU25" s="83">
        <f t="shared" si="35"/>
        <v>2416.9834259999993</v>
      </c>
      <c r="CV25" s="83">
        <f t="shared" si="35"/>
        <v>2416.9834259999993</v>
      </c>
      <c r="CW25" s="83">
        <f t="shared" si="35"/>
        <v>51840.889005399142</v>
      </c>
      <c r="CX25" s="83">
        <f t="shared" si="35"/>
        <v>108325.35252471245</v>
      </c>
      <c r="CY25" s="83">
        <f t="shared" si="35"/>
        <v>111855.63149466952</v>
      </c>
      <c r="CZ25" s="83">
        <f t="shared" si="35"/>
        <v>111855.63149466952</v>
      </c>
      <c r="DA25" s="83">
        <f t="shared" si="35"/>
        <v>104795.07355475535</v>
      </c>
      <c r="DB25" s="83">
        <f t="shared" si="35"/>
        <v>111855.63149466952</v>
      </c>
      <c r="DC25" s="83">
        <f t="shared" si="35"/>
        <v>48310.610035442056</v>
      </c>
      <c r="DD25" s="83">
        <f t="shared" si="35"/>
        <v>2416.9834259999993</v>
      </c>
      <c r="DE25" s="83">
        <f t="shared" si="35"/>
        <v>2416.9834259999993</v>
      </c>
      <c r="DF25" s="83">
        <f t="shared" si="35"/>
        <v>2416.9834259999993</v>
      </c>
      <c r="DG25" s="83">
        <f t="shared" si="35"/>
        <v>2416.9834259999993</v>
      </c>
      <c r="DH25" s="83">
        <f t="shared" si="35"/>
        <v>2416.9834259999993</v>
      </c>
      <c r="DI25" s="83">
        <f t="shared" si="35"/>
        <v>51840.889005399142</v>
      </c>
      <c r="DJ25" s="83">
        <f t="shared" si="35"/>
        <v>108325.35252471245</v>
      </c>
      <c r="DK25" s="83">
        <f t="shared" si="35"/>
        <v>111855.63149466952</v>
      </c>
      <c r="DL25" s="83">
        <f t="shared" si="35"/>
        <v>111855.63149466952</v>
      </c>
      <c r="DM25" s="83">
        <f t="shared" si="35"/>
        <v>104795.07355475535</v>
      </c>
      <c r="DN25" s="83">
        <f t="shared" si="35"/>
        <v>111855.63149466952</v>
      </c>
      <c r="DO25" s="83">
        <f t="shared" si="35"/>
        <v>48310.610035442056</v>
      </c>
      <c r="DP25" s="83">
        <f t="shared" si="35"/>
        <v>2416.9834259999993</v>
      </c>
      <c r="DQ25" s="83">
        <f t="shared" si="35"/>
        <v>2416.9834259999993</v>
      </c>
      <c r="DR25" s="83">
        <f t="shared" si="35"/>
        <v>2416.9834259999993</v>
      </c>
      <c r="DS25" s="83">
        <f t="shared" si="35"/>
        <v>2416.9834259999993</v>
      </c>
      <c r="DT25" s="83">
        <f t="shared" si="35"/>
        <v>2416.9834259999993</v>
      </c>
      <c r="DU25" s="83">
        <f t="shared" si="35"/>
        <v>51840.889005399142</v>
      </c>
      <c r="DV25" s="83">
        <f t="shared" si="35"/>
        <v>108325.35252471245</v>
      </c>
      <c r="DW25" s="83">
        <f t="shared" si="35"/>
        <v>111855.63149466952</v>
      </c>
      <c r="DX25" s="83">
        <f t="shared" si="35"/>
        <v>111855.63149466952</v>
      </c>
      <c r="DY25" s="83">
        <f t="shared" si="35"/>
        <v>104795.07355475535</v>
      </c>
      <c r="DZ25" s="83">
        <f t="shared" ref="DZ25:GK25" si="36">DZ5+DZ22+DZ10+DZ11</f>
        <v>111855.63149466952</v>
      </c>
      <c r="EA25" s="83">
        <f t="shared" si="36"/>
        <v>48310.610035442056</v>
      </c>
      <c r="EB25" s="83">
        <f t="shared" si="36"/>
        <v>2416.9834259999993</v>
      </c>
      <c r="EC25" s="83">
        <f t="shared" si="36"/>
        <v>2416.9834259999993</v>
      </c>
      <c r="ED25" s="83">
        <f t="shared" si="36"/>
        <v>2416.9834259999993</v>
      </c>
      <c r="EE25" s="83">
        <f t="shared" si="36"/>
        <v>2416.9834259999993</v>
      </c>
      <c r="EF25" s="83">
        <f t="shared" si="36"/>
        <v>2416.9834259999993</v>
      </c>
      <c r="EG25" s="83">
        <f t="shared" si="36"/>
        <v>51840.889005399142</v>
      </c>
      <c r="EH25" s="83">
        <f t="shared" si="36"/>
        <v>108325.35252471245</v>
      </c>
      <c r="EI25" s="83">
        <f t="shared" si="36"/>
        <v>111855.63149466952</v>
      </c>
      <c r="EJ25" s="83">
        <f t="shared" si="36"/>
        <v>111855.63149466952</v>
      </c>
      <c r="EK25" s="83">
        <f t="shared" si="36"/>
        <v>104795.07355475535</v>
      </c>
      <c r="EL25" s="83">
        <f t="shared" si="36"/>
        <v>111855.63149466952</v>
      </c>
      <c r="EM25" s="83">
        <f t="shared" si="36"/>
        <v>48310.610035442056</v>
      </c>
      <c r="EN25" s="83">
        <f t="shared" si="36"/>
        <v>2416.9834259999993</v>
      </c>
      <c r="EO25" s="83">
        <f t="shared" si="36"/>
        <v>2416.9834259999993</v>
      </c>
      <c r="EP25" s="83">
        <f t="shared" si="36"/>
        <v>2416.9834259999993</v>
      </c>
      <c r="EQ25" s="83">
        <f t="shared" si="36"/>
        <v>2416.9834259999993</v>
      </c>
      <c r="ER25" s="83">
        <f t="shared" si="36"/>
        <v>2416.9834259999993</v>
      </c>
      <c r="ES25" s="83">
        <f t="shared" si="36"/>
        <v>51840.889005399142</v>
      </c>
      <c r="ET25" s="83">
        <f t="shared" si="36"/>
        <v>108325.35252471245</v>
      </c>
      <c r="EU25" s="83">
        <f t="shared" si="36"/>
        <v>111855.63149466952</v>
      </c>
      <c r="EV25" s="83">
        <f t="shared" si="36"/>
        <v>111855.63149466952</v>
      </c>
      <c r="EW25" s="83">
        <f t="shared" si="36"/>
        <v>104795.07355475535</v>
      </c>
      <c r="EX25" s="83">
        <f t="shared" si="36"/>
        <v>111855.63149466952</v>
      </c>
      <c r="EY25" s="83">
        <f t="shared" si="36"/>
        <v>48310.610035442056</v>
      </c>
      <c r="EZ25" s="83">
        <f t="shared" si="36"/>
        <v>2416.9834259999993</v>
      </c>
      <c r="FA25" s="83">
        <f t="shared" si="36"/>
        <v>2416.9834259999993</v>
      </c>
      <c r="FB25" s="83">
        <f t="shared" si="36"/>
        <v>2416.9834259999993</v>
      </c>
      <c r="FC25" s="83">
        <f t="shared" si="36"/>
        <v>2416.9834259999993</v>
      </c>
      <c r="FD25" s="83">
        <f t="shared" si="36"/>
        <v>2416.9834259999993</v>
      </c>
      <c r="FE25" s="83">
        <f t="shared" si="36"/>
        <v>51840.889005399142</v>
      </c>
      <c r="FF25" s="83">
        <f t="shared" si="36"/>
        <v>108325.35252471245</v>
      </c>
      <c r="FG25" s="83">
        <f t="shared" si="36"/>
        <v>111855.63149466952</v>
      </c>
      <c r="FH25" s="83">
        <f t="shared" si="36"/>
        <v>111855.63149466952</v>
      </c>
      <c r="FI25" s="83">
        <f t="shared" si="36"/>
        <v>104795.07355475535</v>
      </c>
      <c r="FJ25" s="83">
        <f t="shared" si="36"/>
        <v>111855.63149466952</v>
      </c>
      <c r="FK25" s="83">
        <f t="shared" si="36"/>
        <v>48310.610035442056</v>
      </c>
      <c r="FL25" s="83">
        <f t="shared" si="36"/>
        <v>2416.9834259999993</v>
      </c>
      <c r="FM25" s="83">
        <f t="shared" si="36"/>
        <v>2416.9834259999993</v>
      </c>
      <c r="FN25" s="83">
        <f t="shared" si="36"/>
        <v>2416.9834259999993</v>
      </c>
      <c r="FO25" s="83">
        <f t="shared" si="36"/>
        <v>2416.9834259999993</v>
      </c>
      <c r="FP25" s="83">
        <f t="shared" si="36"/>
        <v>2416.9834259999993</v>
      </c>
      <c r="FQ25" s="83">
        <f t="shared" si="36"/>
        <v>51840.889005399142</v>
      </c>
      <c r="FR25" s="83">
        <f t="shared" si="36"/>
        <v>108325.35252471245</v>
      </c>
      <c r="FS25" s="83">
        <f t="shared" si="36"/>
        <v>111855.63149466952</v>
      </c>
      <c r="FT25" s="83">
        <f t="shared" si="36"/>
        <v>111855.63149466952</v>
      </c>
      <c r="FU25" s="83">
        <f t="shared" si="36"/>
        <v>104795.07355475535</v>
      </c>
      <c r="FV25" s="83">
        <f t="shared" si="36"/>
        <v>111855.63149466952</v>
      </c>
      <c r="FW25" s="83">
        <f t="shared" si="36"/>
        <v>48310.610035442056</v>
      </c>
      <c r="FX25" s="83">
        <f t="shared" si="36"/>
        <v>2416.9834259999993</v>
      </c>
      <c r="FY25" s="83">
        <f t="shared" si="36"/>
        <v>2416.9834259999993</v>
      </c>
      <c r="FZ25" s="83">
        <f t="shared" si="36"/>
        <v>2416.9834259999993</v>
      </c>
      <c r="GA25" s="83">
        <f t="shared" si="36"/>
        <v>2416.9834259999993</v>
      </c>
      <c r="GB25" s="83">
        <f t="shared" si="36"/>
        <v>2416.9834259999993</v>
      </c>
      <c r="GC25" s="83">
        <f t="shared" si="36"/>
        <v>51840.889005399142</v>
      </c>
      <c r="GD25" s="83">
        <f t="shared" si="36"/>
        <v>108325.35252471245</v>
      </c>
      <c r="GE25" s="83">
        <f t="shared" si="36"/>
        <v>111855.63149466952</v>
      </c>
      <c r="GF25" s="83">
        <f t="shared" si="36"/>
        <v>111855.63149466952</v>
      </c>
      <c r="GG25" s="83">
        <f t="shared" si="36"/>
        <v>104795.07355475535</v>
      </c>
      <c r="GH25" s="83">
        <f t="shared" si="36"/>
        <v>111855.63149466952</v>
      </c>
      <c r="GI25" s="83">
        <f t="shared" si="36"/>
        <v>48310.610035442056</v>
      </c>
      <c r="GJ25" s="83">
        <f t="shared" si="36"/>
        <v>2416.9834259999993</v>
      </c>
      <c r="GK25" s="83">
        <f t="shared" si="36"/>
        <v>2416.9834259999993</v>
      </c>
      <c r="GL25" s="83">
        <f t="shared" ref="GL25:IG25" si="37">GL5+GL22+GL10+GL11</f>
        <v>2416.9834259999993</v>
      </c>
      <c r="GM25" s="83">
        <f t="shared" si="37"/>
        <v>2416.9834259999993</v>
      </c>
      <c r="GN25" s="83">
        <f t="shared" si="37"/>
        <v>2416.9834259999993</v>
      </c>
      <c r="GO25" s="83">
        <f t="shared" si="37"/>
        <v>51840.889005399142</v>
      </c>
      <c r="GP25" s="83">
        <f t="shared" si="37"/>
        <v>108325.35252471245</v>
      </c>
      <c r="GQ25" s="83">
        <f t="shared" si="37"/>
        <v>111855.63149466952</v>
      </c>
      <c r="GR25" s="83">
        <f t="shared" si="37"/>
        <v>111855.63149466952</v>
      </c>
      <c r="GS25" s="83">
        <f t="shared" si="37"/>
        <v>104795.07355475535</v>
      </c>
      <c r="GT25" s="83">
        <f t="shared" si="37"/>
        <v>111855.63149466952</v>
      </c>
      <c r="GU25" s="83">
        <f t="shared" si="37"/>
        <v>48310.610035442056</v>
      </c>
      <c r="GV25" s="83">
        <f t="shared" si="37"/>
        <v>2416.9834259999993</v>
      </c>
      <c r="GW25" s="83">
        <f t="shared" si="37"/>
        <v>2416.9834259999993</v>
      </c>
      <c r="GX25" s="83">
        <f t="shared" si="37"/>
        <v>2416.9834259999993</v>
      </c>
      <c r="GY25" s="83">
        <f t="shared" si="37"/>
        <v>2416.9834259999993</v>
      </c>
      <c r="GZ25" s="83">
        <f t="shared" si="37"/>
        <v>2416.9834259999993</v>
      </c>
      <c r="HA25" s="83">
        <f t="shared" si="37"/>
        <v>51840.889005399142</v>
      </c>
      <c r="HB25" s="83">
        <f t="shared" si="37"/>
        <v>108325.35252471245</v>
      </c>
      <c r="HC25" s="83">
        <f t="shared" si="37"/>
        <v>111855.63149466952</v>
      </c>
      <c r="HD25" s="83">
        <f t="shared" si="37"/>
        <v>111855.63149466952</v>
      </c>
      <c r="HE25" s="83">
        <f t="shared" si="37"/>
        <v>104795.07355475535</v>
      </c>
      <c r="HF25" s="83">
        <f t="shared" si="37"/>
        <v>111855.63149466952</v>
      </c>
      <c r="HG25" s="83">
        <f t="shared" si="37"/>
        <v>48310.610035442056</v>
      </c>
      <c r="HH25" s="83">
        <f t="shared" si="37"/>
        <v>2416.9834259999993</v>
      </c>
      <c r="HI25" s="83">
        <f t="shared" si="37"/>
        <v>2416.9834259999993</v>
      </c>
      <c r="HJ25" s="83">
        <f t="shared" si="37"/>
        <v>2416.9834259999993</v>
      </c>
      <c r="HK25" s="83">
        <f t="shared" si="37"/>
        <v>2416.9834259999993</v>
      </c>
      <c r="HL25" s="83">
        <f t="shared" si="37"/>
        <v>2416.9834259999993</v>
      </c>
      <c r="HM25" s="83">
        <f t="shared" si="37"/>
        <v>51840.889005399142</v>
      </c>
      <c r="HN25" s="83">
        <f t="shared" si="37"/>
        <v>108325.35252471245</v>
      </c>
      <c r="HO25" s="83">
        <f t="shared" si="37"/>
        <v>111855.63149466952</v>
      </c>
      <c r="HP25" s="83">
        <f t="shared" si="37"/>
        <v>111855.63149466952</v>
      </c>
      <c r="HQ25" s="83">
        <f t="shared" si="37"/>
        <v>104795.07355475535</v>
      </c>
      <c r="HR25" s="83">
        <f t="shared" si="37"/>
        <v>111855.63149466952</v>
      </c>
      <c r="HS25" s="83">
        <f t="shared" si="37"/>
        <v>48310.610035442056</v>
      </c>
      <c r="HT25" s="83">
        <f t="shared" si="37"/>
        <v>2416.9834259999993</v>
      </c>
      <c r="HU25" s="83">
        <f t="shared" si="37"/>
        <v>2416.9834259999993</v>
      </c>
      <c r="HV25" s="83">
        <f t="shared" si="37"/>
        <v>2416.9834259999993</v>
      </c>
      <c r="HW25" s="83">
        <f t="shared" si="37"/>
        <v>2416.9834259999993</v>
      </c>
      <c r="HX25" s="83">
        <f t="shared" si="37"/>
        <v>2416.9834259999993</v>
      </c>
      <c r="HY25" s="83">
        <f t="shared" si="37"/>
        <v>51840.889005399142</v>
      </c>
      <c r="HZ25" s="83">
        <f t="shared" si="37"/>
        <v>108325.35252471245</v>
      </c>
      <c r="IA25" s="83">
        <f t="shared" si="37"/>
        <v>111855.63149466952</v>
      </c>
      <c r="IB25" s="83">
        <f t="shared" si="37"/>
        <v>111855.63149466952</v>
      </c>
      <c r="IC25" s="83">
        <f t="shared" si="37"/>
        <v>104795.07355475535</v>
      </c>
      <c r="ID25" s="83">
        <f t="shared" si="37"/>
        <v>111855.63149466952</v>
      </c>
      <c r="IE25" s="83">
        <f t="shared" si="37"/>
        <v>48310.610035442056</v>
      </c>
      <c r="IF25" s="83">
        <f t="shared" si="37"/>
        <v>2416.9834259999993</v>
      </c>
      <c r="IG25" s="83">
        <f t="shared" si="37"/>
        <v>2416.9834259999993</v>
      </c>
    </row>
    <row r="26" spans="1:241" ht="60" outlineLevel="1" x14ac:dyDescent="0.25">
      <c r="A26" s="94" t="s">
        <v>320</v>
      </c>
      <c r="B26" s="83">
        <f>B25</f>
        <v>0</v>
      </c>
      <c r="C26" s="83">
        <f t="shared" ref="C26:BN26" si="38">B26+C25</f>
        <v>1074.2148559999996</v>
      </c>
      <c r="D26" s="83">
        <f t="shared" si="38"/>
        <v>2148.4297119999992</v>
      </c>
      <c r="E26" s="83">
        <f t="shared" si="38"/>
        <v>-100363.6786972129</v>
      </c>
      <c r="F26" s="83">
        <f t="shared" si="38"/>
        <v>-177771.58109784214</v>
      </c>
      <c r="G26" s="83">
        <f t="shared" si="38"/>
        <v>-253610.47062293487</v>
      </c>
      <c r="H26" s="83">
        <f t="shared" si="38"/>
        <v>-328912.25272002758</v>
      </c>
      <c r="I26" s="83">
        <f t="shared" si="38"/>
        <v>-407352.06056819332</v>
      </c>
      <c r="J26" s="83">
        <f t="shared" si="38"/>
        <v>-482653.84266528604</v>
      </c>
      <c r="K26" s="83">
        <f t="shared" si="38"/>
        <v>-586197.85652203544</v>
      </c>
      <c r="L26" s="83">
        <f t="shared" si="38"/>
        <v>-710139.03776075912</v>
      </c>
      <c r="M26" s="83">
        <f t="shared" si="38"/>
        <v>-834080.21899948281</v>
      </c>
      <c r="N26" s="83">
        <f t="shared" si="38"/>
        <v>-958021.40023820649</v>
      </c>
      <c r="O26" s="83">
        <f t="shared" si="38"/>
        <v>-1081962.5814769301</v>
      </c>
      <c r="P26" s="83">
        <f t="shared" si="38"/>
        <v>-1205903.7627156537</v>
      </c>
      <c r="Q26" s="83">
        <f t="shared" si="38"/>
        <v>-1296895.6735681114</v>
      </c>
      <c r="R26" s="83">
        <f t="shared" si="38"/>
        <v>-1350231.2754076933</v>
      </c>
      <c r="S26" s="83">
        <f t="shared" si="38"/>
        <v>-1401213.3579339706</v>
      </c>
      <c r="T26" s="83">
        <f t="shared" si="38"/>
        <v>-1451389.7793182479</v>
      </c>
      <c r="U26" s="83">
        <f t="shared" si="38"/>
        <v>-1508626.7586424393</v>
      </c>
      <c r="V26" s="83">
        <f t="shared" si="38"/>
        <v>-1558803.1800267166</v>
      </c>
      <c r="W26" s="83">
        <f t="shared" si="38"/>
        <v>-1648989.4297371742</v>
      </c>
      <c r="X26" s="83">
        <f t="shared" si="38"/>
        <v>-1772124.9498338979</v>
      </c>
      <c r="Y26" s="83">
        <f t="shared" si="38"/>
        <v>-1895260.4699306216</v>
      </c>
      <c r="Z26" s="83">
        <f t="shared" si="38"/>
        <v>-2018395.9900273453</v>
      </c>
      <c r="AA26" s="83">
        <f t="shared" si="38"/>
        <v>-2141531.5101240687</v>
      </c>
      <c r="AB26" s="83">
        <f t="shared" si="38"/>
        <v>-2264667.0302207922</v>
      </c>
      <c r="AC26" s="83">
        <f t="shared" si="38"/>
        <v>-2338378.6447381168</v>
      </c>
      <c r="AD26" s="83">
        <f t="shared" si="38"/>
        <v>-2355605.795736128</v>
      </c>
      <c r="AE26" s="83">
        <f t="shared" si="38"/>
        <v>-2369302.6677641822</v>
      </c>
      <c r="AF26" s="83">
        <f t="shared" si="38"/>
        <v>-2382999.5397922364</v>
      </c>
      <c r="AG26" s="83">
        <f t="shared" si="38"/>
        <v>-2407287.2487301617</v>
      </c>
      <c r="AH26" s="83">
        <f t="shared" si="38"/>
        <v>-2420984.1207582159</v>
      </c>
      <c r="AI26" s="83">
        <f t="shared" si="38"/>
        <v>-2494695.7352755405</v>
      </c>
      <c r="AJ26" s="83">
        <f t="shared" si="38"/>
        <v>-2617831.255372264</v>
      </c>
      <c r="AK26" s="83">
        <f t="shared" si="38"/>
        <v>-2740966.7754689874</v>
      </c>
      <c r="AL26" s="83">
        <f t="shared" si="38"/>
        <v>-2864102.2955657109</v>
      </c>
      <c r="AM26" s="83">
        <f t="shared" si="38"/>
        <v>-2987237.8156624343</v>
      </c>
      <c r="AN26" s="83">
        <f t="shared" si="38"/>
        <v>-3110373.3357591578</v>
      </c>
      <c r="AO26" s="83">
        <f t="shared" si="38"/>
        <v>-3184084.9502764824</v>
      </c>
      <c r="AP26" s="83">
        <f t="shared" si="38"/>
        <v>-3201312.1012744936</v>
      </c>
      <c r="AQ26" s="83">
        <f t="shared" si="38"/>
        <v>-3215008.9733025478</v>
      </c>
      <c r="AR26" s="83">
        <f t="shared" si="38"/>
        <v>-3228705.845330602</v>
      </c>
      <c r="AS26" s="83">
        <f t="shared" si="38"/>
        <v>-3252993.5542685273</v>
      </c>
      <c r="AT26" s="83">
        <f t="shared" si="38"/>
        <v>-3266690.4262965815</v>
      </c>
      <c r="AU26" s="83">
        <f t="shared" si="38"/>
        <v>-3340402.0408139061</v>
      </c>
      <c r="AV26" s="83">
        <f t="shared" si="38"/>
        <v>-3463537.5609106296</v>
      </c>
      <c r="AW26" s="83">
        <f t="shared" si="38"/>
        <v>-3586673.081007353</v>
      </c>
      <c r="AX26" s="83">
        <f t="shared" si="38"/>
        <v>-3709808.6011040765</v>
      </c>
      <c r="AY26" s="83">
        <f t="shared" si="38"/>
        <v>-3832944.1212007999</v>
      </c>
      <c r="AZ26" s="83">
        <f t="shared" si="38"/>
        <v>-3956079.6412975234</v>
      </c>
      <c r="BA26" s="83">
        <f t="shared" si="38"/>
        <v>-4029791.255814848</v>
      </c>
      <c r="BB26" s="83">
        <f t="shared" si="38"/>
        <v>-4047018.4068128592</v>
      </c>
      <c r="BC26" s="83">
        <f t="shared" si="38"/>
        <v>-4060715.2788409134</v>
      </c>
      <c r="BD26" s="83">
        <f t="shared" si="38"/>
        <v>-4074412.1508689676</v>
      </c>
      <c r="BE26" s="83">
        <f t="shared" si="38"/>
        <v>-4095169.5808369359</v>
      </c>
      <c r="BF26" s="83">
        <f t="shared" si="38"/>
        <v>-4108866.4528649901</v>
      </c>
      <c r="BG26" s="83">
        <f t="shared" si="38"/>
        <v>-4186108.3463522717</v>
      </c>
      <c r="BH26" s="83">
        <f t="shared" si="38"/>
        <v>-4309243.8664489957</v>
      </c>
      <c r="BI26" s="83">
        <f t="shared" si="38"/>
        <v>-4432379.3865457196</v>
      </c>
      <c r="BJ26" s="83">
        <f t="shared" si="38"/>
        <v>-4555514.9066424435</v>
      </c>
      <c r="BK26" s="83">
        <f t="shared" si="38"/>
        <v>-4678650.4267391674</v>
      </c>
      <c r="BL26" s="83">
        <f t="shared" si="38"/>
        <v>-4801785.9468358913</v>
      </c>
      <c r="BM26" s="83">
        <f t="shared" si="38"/>
        <v>-4749945.057830492</v>
      </c>
      <c r="BN26" s="83">
        <f t="shared" si="38"/>
        <v>-4641619.7053057794</v>
      </c>
      <c r="BO26" s="83">
        <f t="shared" ref="BO26:DZ26" si="39">BN26+BO25</f>
        <v>-4529764.0738111101</v>
      </c>
      <c r="BP26" s="83">
        <f t="shared" si="39"/>
        <v>-4417908.4423164409</v>
      </c>
      <c r="BQ26" s="83">
        <f t="shared" si="39"/>
        <v>-4313113.3687616857</v>
      </c>
      <c r="BR26" s="83">
        <f t="shared" si="39"/>
        <v>-4201257.7372670164</v>
      </c>
      <c r="BS26" s="83">
        <f t="shared" si="39"/>
        <v>-4152947.1272315742</v>
      </c>
      <c r="BT26" s="83">
        <f t="shared" si="39"/>
        <v>-4150530.1438055742</v>
      </c>
      <c r="BU26" s="83">
        <f t="shared" si="39"/>
        <v>-4148113.1603795742</v>
      </c>
      <c r="BV26" s="83">
        <f t="shared" si="39"/>
        <v>-4145696.1769535742</v>
      </c>
      <c r="BW26" s="83">
        <f t="shared" si="39"/>
        <v>-4143279.1935275742</v>
      </c>
      <c r="BX26" s="83">
        <f t="shared" si="39"/>
        <v>-4140862.2101015742</v>
      </c>
      <c r="BY26" s="83">
        <f t="shared" si="39"/>
        <v>-4089021.3210961749</v>
      </c>
      <c r="BZ26" s="83">
        <f t="shared" si="39"/>
        <v>-3980695.9685714627</v>
      </c>
      <c r="CA26" s="83">
        <f t="shared" si="39"/>
        <v>-3868840.337076793</v>
      </c>
      <c r="CB26" s="83">
        <f t="shared" si="39"/>
        <v>-3756984.7055821232</v>
      </c>
      <c r="CC26" s="83">
        <f t="shared" si="39"/>
        <v>-3652189.6320273681</v>
      </c>
      <c r="CD26" s="83">
        <f t="shared" si="39"/>
        <v>-3540334.0005326984</v>
      </c>
      <c r="CE26" s="83">
        <f t="shared" si="39"/>
        <v>-3492023.3904972561</v>
      </c>
      <c r="CF26" s="83">
        <f t="shared" si="39"/>
        <v>-3489606.4070712561</v>
      </c>
      <c r="CG26" s="83">
        <f t="shared" si="39"/>
        <v>-3487189.4236452561</v>
      </c>
      <c r="CH26" s="83">
        <f t="shared" si="39"/>
        <v>-3484772.4402192561</v>
      </c>
      <c r="CI26" s="83">
        <f t="shared" si="39"/>
        <v>-3482355.4567932561</v>
      </c>
      <c r="CJ26" s="83">
        <f t="shared" si="39"/>
        <v>-3479938.4733672561</v>
      </c>
      <c r="CK26" s="83">
        <f t="shared" si="39"/>
        <v>-3428097.5843618568</v>
      </c>
      <c r="CL26" s="83">
        <f t="shared" si="39"/>
        <v>-3319772.2318371441</v>
      </c>
      <c r="CM26" s="83">
        <f t="shared" si="39"/>
        <v>-3207916.6003424744</v>
      </c>
      <c r="CN26" s="83">
        <f t="shared" si="39"/>
        <v>-3096060.9688478047</v>
      </c>
      <c r="CO26" s="83">
        <f t="shared" si="39"/>
        <v>-2991265.8952930495</v>
      </c>
      <c r="CP26" s="83">
        <f t="shared" si="39"/>
        <v>-2879410.2637983798</v>
      </c>
      <c r="CQ26" s="83">
        <f t="shared" si="39"/>
        <v>-2831099.6537629375</v>
      </c>
      <c r="CR26" s="83">
        <f t="shared" si="39"/>
        <v>-2828682.6703369375</v>
      </c>
      <c r="CS26" s="83">
        <f t="shared" si="39"/>
        <v>-2826265.6869109375</v>
      </c>
      <c r="CT26" s="83">
        <f t="shared" si="39"/>
        <v>-2823848.7034849375</v>
      </c>
      <c r="CU26" s="83">
        <f t="shared" si="39"/>
        <v>-2821431.7200589376</v>
      </c>
      <c r="CV26" s="83">
        <f t="shared" si="39"/>
        <v>-2819014.7366329376</v>
      </c>
      <c r="CW26" s="83">
        <f t="shared" si="39"/>
        <v>-2767173.8476275383</v>
      </c>
      <c r="CX26" s="83">
        <f t="shared" si="39"/>
        <v>-2658848.4951028256</v>
      </c>
      <c r="CY26" s="83">
        <f t="shared" si="39"/>
        <v>-2546992.8636081559</v>
      </c>
      <c r="CZ26" s="83">
        <f t="shared" si="39"/>
        <v>-2435137.2321134862</v>
      </c>
      <c r="DA26" s="83">
        <f t="shared" si="39"/>
        <v>-2330342.158558731</v>
      </c>
      <c r="DB26" s="83">
        <f t="shared" si="39"/>
        <v>-2218486.5270640613</v>
      </c>
      <c r="DC26" s="83">
        <f t="shared" si="39"/>
        <v>-2170175.917028619</v>
      </c>
      <c r="DD26" s="83">
        <f t="shared" si="39"/>
        <v>-2167758.933602619</v>
      </c>
      <c r="DE26" s="83">
        <f t="shared" si="39"/>
        <v>-2165341.950176619</v>
      </c>
      <c r="DF26" s="83">
        <f t="shared" si="39"/>
        <v>-2162924.966750619</v>
      </c>
      <c r="DG26" s="83">
        <f t="shared" si="39"/>
        <v>-2160507.983324619</v>
      </c>
      <c r="DH26" s="83">
        <f t="shared" si="39"/>
        <v>-2158090.999898619</v>
      </c>
      <c r="DI26" s="83">
        <f t="shared" si="39"/>
        <v>-2106250.1108932197</v>
      </c>
      <c r="DJ26" s="83">
        <f t="shared" si="39"/>
        <v>-1997924.7583685073</v>
      </c>
      <c r="DK26" s="83">
        <f t="shared" si="39"/>
        <v>-1886069.1268738378</v>
      </c>
      <c r="DL26" s="83">
        <f t="shared" si="39"/>
        <v>-1774213.4953791683</v>
      </c>
      <c r="DM26" s="83">
        <f t="shared" si="39"/>
        <v>-1669418.4218244129</v>
      </c>
      <c r="DN26" s="83">
        <f t="shared" si="39"/>
        <v>-1557562.7903297434</v>
      </c>
      <c r="DO26" s="83">
        <f t="shared" si="39"/>
        <v>-1509252.1802943014</v>
      </c>
      <c r="DP26" s="83">
        <f t="shared" si="39"/>
        <v>-1506835.1968683014</v>
      </c>
      <c r="DQ26" s="83">
        <f t="shared" si="39"/>
        <v>-1504418.2134423014</v>
      </c>
      <c r="DR26" s="83">
        <f t="shared" si="39"/>
        <v>-1502001.2300163014</v>
      </c>
      <c r="DS26" s="83">
        <f t="shared" si="39"/>
        <v>-1499584.2465903014</v>
      </c>
      <c r="DT26" s="83">
        <f t="shared" si="39"/>
        <v>-1497167.2631643014</v>
      </c>
      <c r="DU26" s="83">
        <f t="shared" si="39"/>
        <v>-1445326.3741589023</v>
      </c>
      <c r="DV26" s="83">
        <f t="shared" si="39"/>
        <v>-1337001.0216341899</v>
      </c>
      <c r="DW26" s="83">
        <f t="shared" si="39"/>
        <v>-1225145.3901395204</v>
      </c>
      <c r="DX26" s="83">
        <f t="shared" si="39"/>
        <v>-1113289.7586448509</v>
      </c>
      <c r="DY26" s="83">
        <f t="shared" si="39"/>
        <v>-1008494.6850900956</v>
      </c>
      <c r="DZ26" s="83">
        <f t="shared" si="39"/>
        <v>-896639.05359542614</v>
      </c>
      <c r="EA26" s="83">
        <f t="shared" ref="EA26:GL26" si="40">DZ26+EA25</f>
        <v>-848328.44355998409</v>
      </c>
      <c r="EB26" s="83">
        <f t="shared" si="40"/>
        <v>-845911.4601339841</v>
      </c>
      <c r="EC26" s="83">
        <f t="shared" si="40"/>
        <v>-843494.47670798411</v>
      </c>
      <c r="ED26" s="83">
        <f t="shared" si="40"/>
        <v>-841077.49328198412</v>
      </c>
      <c r="EE26" s="83">
        <f t="shared" si="40"/>
        <v>-838660.50985598413</v>
      </c>
      <c r="EF26" s="83">
        <f t="shared" si="40"/>
        <v>-836243.52642998414</v>
      </c>
      <c r="EG26" s="83">
        <f t="shared" si="40"/>
        <v>-784402.63742458494</v>
      </c>
      <c r="EH26" s="83">
        <f t="shared" si="40"/>
        <v>-676077.28489987249</v>
      </c>
      <c r="EI26" s="83">
        <f t="shared" si="40"/>
        <v>-564221.65340520302</v>
      </c>
      <c r="EJ26" s="83">
        <f t="shared" si="40"/>
        <v>-452366.02191053348</v>
      </c>
      <c r="EK26" s="83">
        <f t="shared" si="40"/>
        <v>-347570.94835577812</v>
      </c>
      <c r="EL26" s="83">
        <f t="shared" si="40"/>
        <v>-235715.31686110859</v>
      </c>
      <c r="EM26" s="83">
        <f t="shared" si="40"/>
        <v>-187404.70682566654</v>
      </c>
      <c r="EN26" s="83">
        <f t="shared" si="40"/>
        <v>-184987.72339966655</v>
      </c>
      <c r="EO26" s="83">
        <f t="shared" si="40"/>
        <v>-182570.73997366655</v>
      </c>
      <c r="EP26" s="83">
        <f t="shared" si="40"/>
        <v>-180153.75654766656</v>
      </c>
      <c r="EQ26" s="83">
        <f t="shared" si="40"/>
        <v>-177736.77312166657</v>
      </c>
      <c r="ER26" s="83">
        <f t="shared" si="40"/>
        <v>-175319.78969566658</v>
      </c>
      <c r="ES26" s="83">
        <f t="shared" si="40"/>
        <v>-123478.90069026744</v>
      </c>
      <c r="ET26" s="83">
        <f t="shared" si="40"/>
        <v>-15153.548165554996</v>
      </c>
      <c r="EU26" s="83">
        <f t="shared" si="40"/>
        <v>96702.083329114525</v>
      </c>
      <c r="EV26" s="83">
        <f t="shared" si="40"/>
        <v>208557.71482378404</v>
      </c>
      <c r="EW26" s="83">
        <f t="shared" si="40"/>
        <v>313352.78837853938</v>
      </c>
      <c r="EX26" s="83">
        <f t="shared" si="40"/>
        <v>425208.41987320891</v>
      </c>
      <c r="EY26" s="83">
        <f t="shared" si="40"/>
        <v>473519.02990865096</v>
      </c>
      <c r="EZ26" s="83">
        <f t="shared" si="40"/>
        <v>475936.01333465095</v>
      </c>
      <c r="FA26" s="83">
        <f t="shared" si="40"/>
        <v>478352.99676065095</v>
      </c>
      <c r="FB26" s="83">
        <f t="shared" si="40"/>
        <v>480769.98018665094</v>
      </c>
      <c r="FC26" s="83">
        <f t="shared" si="40"/>
        <v>483186.96361265093</v>
      </c>
      <c r="FD26" s="83">
        <f t="shared" si="40"/>
        <v>485603.94703865092</v>
      </c>
      <c r="FE26" s="83">
        <f t="shared" si="40"/>
        <v>537444.83604405005</v>
      </c>
      <c r="FF26" s="83">
        <f t="shared" si="40"/>
        <v>645770.1885687625</v>
      </c>
      <c r="FG26" s="83">
        <f t="shared" si="40"/>
        <v>757625.82006343198</v>
      </c>
      <c r="FH26" s="83">
        <f t="shared" si="40"/>
        <v>869481.45155810146</v>
      </c>
      <c r="FI26" s="83">
        <f t="shared" si="40"/>
        <v>974276.52511285676</v>
      </c>
      <c r="FJ26" s="83">
        <f t="shared" si="40"/>
        <v>1086132.1566075264</v>
      </c>
      <c r="FK26" s="83">
        <f t="shared" si="40"/>
        <v>1134442.7666429684</v>
      </c>
      <c r="FL26" s="83">
        <f t="shared" si="40"/>
        <v>1136859.7500689684</v>
      </c>
      <c r="FM26" s="83">
        <f t="shared" si="40"/>
        <v>1139276.7334949684</v>
      </c>
      <c r="FN26" s="83">
        <f t="shared" si="40"/>
        <v>1141693.7169209684</v>
      </c>
      <c r="FO26" s="83">
        <f t="shared" si="40"/>
        <v>1144110.7003469684</v>
      </c>
      <c r="FP26" s="83">
        <f t="shared" si="40"/>
        <v>1146527.6837729684</v>
      </c>
      <c r="FQ26" s="83">
        <f t="shared" si="40"/>
        <v>1198368.5727783674</v>
      </c>
      <c r="FR26" s="83">
        <f t="shared" si="40"/>
        <v>1306693.9253030799</v>
      </c>
      <c r="FS26" s="83">
        <f t="shared" si="40"/>
        <v>1418549.5567977494</v>
      </c>
      <c r="FT26" s="83">
        <f t="shared" si="40"/>
        <v>1530405.1882924188</v>
      </c>
      <c r="FU26" s="83">
        <f t="shared" si="40"/>
        <v>1635200.2618471743</v>
      </c>
      <c r="FV26" s="83">
        <f t="shared" si="40"/>
        <v>1747055.8933418437</v>
      </c>
      <c r="FW26" s="83">
        <f t="shared" si="40"/>
        <v>1795366.5033772858</v>
      </c>
      <c r="FX26" s="83">
        <f t="shared" si="40"/>
        <v>1797783.4868032858</v>
      </c>
      <c r="FY26" s="83">
        <f t="shared" si="40"/>
        <v>1800200.4702292858</v>
      </c>
      <c r="FZ26" s="83">
        <f t="shared" si="40"/>
        <v>1802617.4536552858</v>
      </c>
      <c r="GA26" s="83">
        <f t="shared" si="40"/>
        <v>1805034.4370812858</v>
      </c>
      <c r="GB26" s="83">
        <f t="shared" si="40"/>
        <v>1807451.4205072857</v>
      </c>
      <c r="GC26" s="83">
        <f t="shared" si="40"/>
        <v>1859292.3095126848</v>
      </c>
      <c r="GD26" s="83">
        <f t="shared" si="40"/>
        <v>1967617.6620373973</v>
      </c>
      <c r="GE26" s="83">
        <f t="shared" si="40"/>
        <v>2079473.2935320667</v>
      </c>
      <c r="GF26" s="83">
        <f t="shared" si="40"/>
        <v>2191328.9250267362</v>
      </c>
      <c r="GG26" s="83">
        <f t="shared" si="40"/>
        <v>2296123.9985814914</v>
      </c>
      <c r="GH26" s="83">
        <f t="shared" si="40"/>
        <v>2407979.6300761611</v>
      </c>
      <c r="GI26" s="83">
        <f t="shared" si="40"/>
        <v>2456290.2401116034</v>
      </c>
      <c r="GJ26" s="83">
        <f t="shared" si="40"/>
        <v>2458707.2235376034</v>
      </c>
      <c r="GK26" s="83">
        <f t="shared" si="40"/>
        <v>2461124.2069636034</v>
      </c>
      <c r="GL26" s="83">
        <f t="shared" si="40"/>
        <v>2463541.1903896034</v>
      </c>
      <c r="GM26" s="83">
        <f t="shared" ref="GM26:IG26" si="41">GL26+GM25</f>
        <v>2465958.1738156034</v>
      </c>
      <c r="GN26" s="83">
        <f t="shared" si="41"/>
        <v>2468375.1572416034</v>
      </c>
      <c r="GO26" s="83">
        <f t="shared" si="41"/>
        <v>2520216.0462470027</v>
      </c>
      <c r="GP26" s="83">
        <f t="shared" si="41"/>
        <v>2628541.3987717154</v>
      </c>
      <c r="GQ26" s="83">
        <f t="shared" si="41"/>
        <v>2740397.0302663851</v>
      </c>
      <c r="GR26" s="83">
        <f t="shared" si="41"/>
        <v>2852252.6617610548</v>
      </c>
      <c r="GS26" s="83">
        <f t="shared" si="41"/>
        <v>2957047.73531581</v>
      </c>
      <c r="GT26" s="83">
        <f t="shared" si="41"/>
        <v>3068903.3668104797</v>
      </c>
      <c r="GU26" s="83">
        <f t="shared" si="41"/>
        <v>3117213.9768459219</v>
      </c>
      <c r="GV26" s="83">
        <f t="shared" si="41"/>
        <v>3119630.9602719219</v>
      </c>
      <c r="GW26" s="83">
        <f t="shared" si="41"/>
        <v>3122047.9436979219</v>
      </c>
      <c r="GX26" s="83">
        <f t="shared" si="41"/>
        <v>3124464.9271239219</v>
      </c>
      <c r="GY26" s="83">
        <f t="shared" si="41"/>
        <v>3126881.9105499219</v>
      </c>
      <c r="GZ26" s="83">
        <f t="shared" si="41"/>
        <v>3129298.8939759219</v>
      </c>
      <c r="HA26" s="83">
        <f t="shared" si="41"/>
        <v>3181139.7829813212</v>
      </c>
      <c r="HB26" s="83">
        <f t="shared" si="41"/>
        <v>3289465.1355060339</v>
      </c>
      <c r="HC26" s="83">
        <f t="shared" si="41"/>
        <v>3401320.7670007036</v>
      </c>
      <c r="HD26" s="83">
        <f t="shared" si="41"/>
        <v>3513176.3984953733</v>
      </c>
      <c r="HE26" s="83">
        <f t="shared" si="41"/>
        <v>3617971.4720501285</v>
      </c>
      <c r="HF26" s="83">
        <f t="shared" si="41"/>
        <v>3729827.1035447982</v>
      </c>
      <c r="HG26" s="83">
        <f t="shared" si="41"/>
        <v>3778137.7135802405</v>
      </c>
      <c r="HH26" s="83">
        <f t="shared" si="41"/>
        <v>3780554.6970062405</v>
      </c>
      <c r="HI26" s="83">
        <f t="shared" si="41"/>
        <v>3782971.6804322405</v>
      </c>
      <c r="HJ26" s="83">
        <f t="shared" si="41"/>
        <v>3785388.6638582405</v>
      </c>
      <c r="HK26" s="83">
        <f t="shared" si="41"/>
        <v>3787805.6472842405</v>
      </c>
      <c r="HL26" s="83">
        <f t="shared" si="41"/>
        <v>3790222.6307102405</v>
      </c>
      <c r="HM26" s="83">
        <f t="shared" si="41"/>
        <v>3842063.5197156398</v>
      </c>
      <c r="HN26" s="83">
        <f t="shared" si="41"/>
        <v>3950388.8722403524</v>
      </c>
      <c r="HO26" s="83">
        <f t="shared" si="41"/>
        <v>4062244.5037350222</v>
      </c>
      <c r="HP26" s="83">
        <f t="shared" si="41"/>
        <v>4174100.1352296919</v>
      </c>
      <c r="HQ26" s="83">
        <f t="shared" si="41"/>
        <v>4278895.2087844471</v>
      </c>
      <c r="HR26" s="83">
        <f t="shared" si="41"/>
        <v>4390750.8402791163</v>
      </c>
      <c r="HS26" s="83">
        <f t="shared" si="41"/>
        <v>4439061.4503145581</v>
      </c>
      <c r="HT26" s="83">
        <f t="shared" si="41"/>
        <v>4441478.4337405581</v>
      </c>
      <c r="HU26" s="83">
        <f t="shared" si="41"/>
        <v>4443895.4171665581</v>
      </c>
      <c r="HV26" s="83">
        <f t="shared" si="41"/>
        <v>4446312.4005925581</v>
      </c>
      <c r="HW26" s="83">
        <f t="shared" si="41"/>
        <v>4448729.3840185581</v>
      </c>
      <c r="HX26" s="83">
        <f t="shared" si="41"/>
        <v>4451146.3674445581</v>
      </c>
      <c r="HY26" s="83">
        <f t="shared" si="41"/>
        <v>4502987.2564499574</v>
      </c>
      <c r="HZ26" s="83">
        <f t="shared" si="41"/>
        <v>4611312.6089746701</v>
      </c>
      <c r="IA26" s="83">
        <f t="shared" si="41"/>
        <v>4723168.2404693393</v>
      </c>
      <c r="IB26" s="83">
        <f t="shared" si="41"/>
        <v>4835023.8719640085</v>
      </c>
      <c r="IC26" s="83">
        <f t="shared" si="41"/>
        <v>4939818.9455187637</v>
      </c>
      <c r="ID26" s="83">
        <f t="shared" si="41"/>
        <v>5051674.577013433</v>
      </c>
      <c r="IE26" s="83">
        <f t="shared" si="41"/>
        <v>5099985.1870488748</v>
      </c>
      <c r="IF26" s="83">
        <f t="shared" si="41"/>
        <v>5102402.1704748748</v>
      </c>
      <c r="IG26" s="83">
        <f t="shared" si="41"/>
        <v>5104819.1539008748</v>
      </c>
    </row>
    <row r="27" spans="1:241" ht="60" outlineLevel="1" x14ac:dyDescent="0.25">
      <c r="A27" s="94" t="s">
        <v>319</v>
      </c>
      <c r="B27" s="83">
        <f>B25/POWER((1+'Вхідні дані'!$B$13/12),B1)</f>
        <v>0</v>
      </c>
      <c r="C27" s="83">
        <f>C25/POWER((1+'Вхідні дані'!$B$13/12),C1)</f>
        <v>1030.8167547788421</v>
      </c>
      <c r="D27" s="83">
        <f>D25/POWER((1+'Вхідні дані'!$B$13/12),D1)</f>
        <v>1009.7796781507026</v>
      </c>
      <c r="E27" s="83">
        <f>E25/POWER((1+'Вхідні дані'!$B$13/12),E1)</f>
        <v>-94396.478989162075</v>
      </c>
      <c r="F27" s="83">
        <f>F25/POWER((1+'Вхідні дані'!$B$13/12),F1)</f>
        <v>-69825.022744690301</v>
      </c>
      <c r="G27" s="83">
        <f>G25/POWER((1+'Вхідні дані'!$B$13/12),G1)</f>
        <v>-67013.593862782902</v>
      </c>
      <c r="H27" s="83">
        <f>H25/POWER((1+'Вхідні дані'!$B$13/12),H1)</f>
        <v>-65181.050535728355</v>
      </c>
      <c r="I27" s="83">
        <f>I25/POWER((1+'Вхідні дані'!$B$13/12),I1)</f>
        <v>-66511.658895848901</v>
      </c>
      <c r="J27" s="83">
        <f>J25/POWER((1+'Вхідні дані'!$B$13/12),J1)</f>
        <v>-62547.746953068781</v>
      </c>
      <c r="K27" s="83">
        <f>K25/POWER((1+'Вхідні дані'!$B$13/12),K1)</f>
        <v>-84251.292043057314</v>
      </c>
      <c r="L27" s="83">
        <f>L25/POWER((1+'Вхідні дані'!$B$13/12),L1)</f>
        <v>-98789.858130988927</v>
      </c>
      <c r="M27" s="83">
        <f>M25/POWER((1+'Вхідні дані'!$B$13/12),M1)</f>
        <v>-96773.738577295284</v>
      </c>
      <c r="N27" s="83">
        <f>N25/POWER((1+'Вхідні дані'!$B$13/12),N1)</f>
        <v>-94798.764320615781</v>
      </c>
      <c r="O27" s="83">
        <f>O25/POWER((1+'Вхідні дані'!$B$13/12),O1)</f>
        <v>-92864.095661011394</v>
      </c>
      <c r="P27" s="83">
        <f>P25/POWER((1+'Вхідні дані'!$B$13/12),P1)</f>
        <v>-90968.91003527648</v>
      </c>
      <c r="Q27" s="83">
        <f>Q25/POWER((1+'Вхідні дані'!$B$13/12),Q1)</f>
        <v>-65422.223891293208</v>
      </c>
      <c r="R27" s="83">
        <f>R25/POWER((1+'Вхідні дані'!$B$13/12),R1)</f>
        <v>-37565.128167704417</v>
      </c>
      <c r="S27" s="83">
        <f>S25/POWER((1+'Вхідні дані'!$B$13/12),S1)</f>
        <v>-35174.700146083771</v>
      </c>
      <c r="T27" s="83">
        <f>T25/POWER((1+'Вхідні дані'!$B$13/12),T1)</f>
        <v>-33912.333421524141</v>
      </c>
      <c r="U27" s="83">
        <f>U25/POWER((1+'Вхідні дані'!$B$13/12),U1)</f>
        <v>-37894.820372933864</v>
      </c>
      <c r="V27" s="83">
        <f>V25/POWER((1+'Вхідні дані'!$B$13/12),V1)</f>
        <v>-32542.280800996094</v>
      </c>
      <c r="W27" s="83">
        <f>W25/POWER((1+'Вхідні дані'!$B$13/12),W1)</f>
        <v>-57297.251444103102</v>
      </c>
      <c r="X27" s="83">
        <f>X25/POWER((1+'Вхідні дані'!$B$13/12),X1)</f>
        <v>-76634.083538121762</v>
      </c>
      <c r="Y27" s="83">
        <f>Y25/POWER((1+'Вхідні дані'!$B$13/12),Y1)</f>
        <v>-75070.122649588666</v>
      </c>
      <c r="Z27" s="83">
        <f>Z25/POWER((1+'Вхідні дані'!$B$13/12),Z1)</f>
        <v>-73538.079330209308</v>
      </c>
      <c r="AA27" s="83">
        <f>AA25/POWER((1+'Вхідні дані'!$B$13/12),AA1)</f>
        <v>-72037.302201021375</v>
      </c>
      <c r="AB27" s="83">
        <f>AB25/POWER((1+'Вхідні дані'!$B$13/12),AB1)</f>
        <v>-70567.15317651075</v>
      </c>
      <c r="AC27" s="83">
        <f>AC25/POWER((1+'Вхідні дані'!$B$13/12),AC1)</f>
        <v>-41380.93787209053</v>
      </c>
      <c r="AD27" s="83">
        <f>AD25/POWER((1+'Вхідні дані'!$B$13/12),AD1)</f>
        <v>-9473.7740690133578</v>
      </c>
      <c r="AE27" s="83">
        <f>AE25/POWER((1+'Вхідні дані'!$B$13/12),AE1)</f>
        <v>-7378.6365451409256</v>
      </c>
      <c r="AF27" s="83">
        <f>AF25/POWER((1+'Вхідні дані'!$B$13/12),AF1)</f>
        <v>-7228.0521258523358</v>
      </c>
      <c r="AG27" s="83">
        <f>AG25/POWER((1+'Вхідні дані'!$B$13/12),AG1)</f>
        <v>-12555.429818532397</v>
      </c>
      <c r="AH27" s="83">
        <f>AH25/POWER((1+'Вхідні дані'!$B$13/12),AH1)</f>
        <v>-6936.0400241415191</v>
      </c>
      <c r="AI27" s="83">
        <f>AI25/POWER((1+'Вхідні дані'!$B$13/12),AI1)</f>
        <v>-36565.479552595491</v>
      </c>
      <c r="AJ27" s="83">
        <f>AJ25/POWER((1+'Вхідні дані'!$B$13/12),AJ1)</f>
        <v>-59836.179486981753</v>
      </c>
      <c r="AK27" s="83">
        <f>AK25/POWER((1+'Вхідні дані'!$B$13/12),AK1)</f>
        <v>-58615.032966839266</v>
      </c>
      <c r="AL27" s="83">
        <f>AL25/POWER((1+'Вхідні дані'!$B$13/12),AL1)</f>
        <v>-57418.807804250719</v>
      </c>
      <c r="AM27" s="83">
        <f>AM25/POWER((1+'Вхідні дані'!$B$13/12),AM1)</f>
        <v>-56246.995400082342</v>
      </c>
      <c r="AN27" s="83">
        <f>AN25/POWER((1+'Вхідні дані'!$B$13/12),AN1)</f>
        <v>-55099.097534774563</v>
      </c>
      <c r="AO27" s="83">
        <f>AO25/POWER((1+'Вхідні дані'!$B$13/12),AO1)</f>
        <v>-32310.391297657006</v>
      </c>
      <c r="AP27" s="83">
        <f>AP25/POWER((1+'Вхідні дані'!$B$13/12),AP1)</f>
        <v>-7397.158280500661</v>
      </c>
      <c r="AQ27" s="83">
        <f>AQ25/POWER((1+'Вхідні дані'!$B$13/12),AQ1)</f>
        <v>-5761.2670537728245</v>
      </c>
      <c r="AR27" s="83">
        <f>AR25/POWER((1+'Вхідні дані'!$B$13/12),AR1)</f>
        <v>-5643.6901751244013</v>
      </c>
      <c r="AS27" s="83">
        <f>AS25/POWER((1+'Вхідні дані'!$B$13/12),AS1)</f>
        <v>-9803.3266331708292</v>
      </c>
      <c r="AT27" s="83">
        <f>AT25/POWER((1+'Вхідні дані'!$B$13/12),AT1)</f>
        <v>-5415.6860322726452</v>
      </c>
      <c r="AU27" s="83">
        <f>AU25/POWER((1+'Вхідні дані'!$B$13/12),AU1)</f>
        <v>-28550.463403770867</v>
      </c>
      <c r="AV27" s="83">
        <f>AV25/POWER((1+'Вхідні дані'!$B$13/12),AV1)</f>
        <v>-46720.313081283675</v>
      </c>
      <c r="AW27" s="83">
        <f>AW25/POWER((1+'Вхідні дані'!$B$13/12),AW1)</f>
        <v>-45766.837304114619</v>
      </c>
      <c r="AX27" s="83">
        <f>AX25/POWER((1+'Вхідні дані'!$B$13/12),AX1)</f>
        <v>-44832.820216275548</v>
      </c>
      <c r="AY27" s="83">
        <f>AY25/POWER((1+'Вхідні дані'!$B$13/12),AY1)</f>
        <v>-43917.864701657687</v>
      </c>
      <c r="AZ27" s="83">
        <f>AZ25/POWER((1+'Вхідні дані'!$B$13/12),AZ1)</f>
        <v>-43021.581748562639</v>
      </c>
      <c r="BA27" s="83">
        <f>BA25/POWER((1+'Вхідні дані'!$B$13/12),BA1)</f>
        <v>-25228.074555357332</v>
      </c>
      <c r="BB27" s="83">
        <f>BB25/POWER((1+'Вхідні дані'!$B$13/12),BB1)</f>
        <v>-5775.728894121502</v>
      </c>
      <c r="BC27" s="83">
        <f>BC25/POWER((1+'Вхідні дані'!$B$13/12),BC1)</f>
        <v>-4498.4188964757132</v>
      </c>
      <c r="BD27" s="83">
        <f>BD25/POWER((1+'Вхідні дані'!$B$13/12),BD1)</f>
        <v>-4406.6144292006993</v>
      </c>
      <c r="BE27" s="83">
        <f>BE25/POWER((1+'Вхідні дані'!$B$13/12),BE1)</f>
        <v>-6541.8772788621218</v>
      </c>
      <c r="BF27" s="83">
        <f>BF25/POWER((1+'Вхідні дані'!$B$13/12),BF1)</f>
        <v>-4228.587940390843</v>
      </c>
      <c r="BG27" s="83">
        <f>BG25/POWER((1+'Вхідні дані'!$B$13/12),BG1)</f>
        <v>-23359.956921320616</v>
      </c>
      <c r="BH27" s="83">
        <f>BH25/POWER((1+'Вхідні дані'!$B$13/12),BH1)</f>
        <v>-36479.395461537846</v>
      </c>
      <c r="BI27" s="83">
        <f>BI25/POWER((1+'Вхідні дані'!$B$13/12),BI1)</f>
        <v>-35734.918003139115</v>
      </c>
      <c r="BJ27" s="83">
        <f>BJ25/POWER((1+'Вхідні дані'!$B$13/12),BJ1)</f>
        <v>-35005.633962258726</v>
      </c>
      <c r="BK27" s="83">
        <f>BK25/POWER((1+'Вхідні дані'!$B$13/12),BK1)</f>
        <v>-34291.233269151409</v>
      </c>
      <c r="BL27" s="83">
        <f>BL25/POWER((1+'Вхідні дані'!$B$13/12),BL1)</f>
        <v>-33591.412182025881</v>
      </c>
      <c r="BM27" s="83">
        <f>BM25/POWER((1+'Вхідні дані'!$B$13/12),BM1)</f>
        <v>13853.595750962982</v>
      </c>
      <c r="BN27" s="83">
        <f>BN25/POWER((1+'Вхідні дані'!$B$13/12),BN1)</f>
        <v>28357.330091341519</v>
      </c>
      <c r="BO27" s="83">
        <f>BO25/POWER((1+'Вхідні дані'!$B$13/12),BO1)</f>
        <v>28683.90258647388</v>
      </c>
      <c r="BP27" s="83">
        <f>BP25/POWER((1+'Вхідні дані'!$B$13/12),BP1)</f>
        <v>28098.51681940299</v>
      </c>
      <c r="BQ27" s="83">
        <f>BQ25/POWER((1+'Вхідні дані'!$B$13/12),BQ1)</f>
        <v>25787.638080397861</v>
      </c>
      <c r="BR27" s="83">
        <f>BR25/POWER((1+'Вхідні дані'!$B$13/12),BR1)</f>
        <v>26963.341421034776</v>
      </c>
      <c r="BS27" s="83">
        <f>BS25/POWER((1+'Вхідні дані'!$B$13/12),BS1)</f>
        <v>11407.843005805818</v>
      </c>
      <c r="BT27" s="83">
        <f>BT25/POWER((1+'Вхідні дані'!$B$13/12),BT1)</f>
        <v>559.08757916794252</v>
      </c>
      <c r="BU27" s="83">
        <f>BU25/POWER((1+'Вхідні дані'!$B$13/12),BU1)</f>
        <v>547.67762857267849</v>
      </c>
      <c r="BV27" s="83">
        <f>BV25/POWER((1+'Вхідні дані'!$B$13/12),BV1)</f>
        <v>536.50053411201156</v>
      </c>
      <c r="BW27" s="83">
        <f>BW25/POWER((1+'Вхідні дані'!$B$13/12),BW1)</f>
        <v>525.55154361992982</v>
      </c>
      <c r="BX27" s="83">
        <f>BX25/POWER((1+'Вхідні дані'!$B$13/12),BX1)</f>
        <v>514.82600191340077</v>
      </c>
      <c r="BY27" s="83">
        <f>BY25/POWER((1+'Вхідні дані'!$B$13/12),BY1)</f>
        <v>10816.939455958236</v>
      </c>
      <c r="BZ27" s="83">
        <f>BZ25/POWER((1+'Вхідні дані'!$B$13/12),BZ1)</f>
        <v>22141.509557859146</v>
      </c>
      <c r="CA27" s="83">
        <f>CA25/POWER((1+'Вхідні дані'!$B$13/12),CA1)</f>
        <v>22396.498585352783</v>
      </c>
      <c r="CB27" s="83">
        <f>CB25/POWER((1+'Вхідні дані'!$B$13/12),CB1)</f>
        <v>21939.427185651712</v>
      </c>
      <c r="CC27" s="83">
        <f>CC25/POWER((1+'Вхідні дані'!$B$13/12),CC1)</f>
        <v>20135.084410012249</v>
      </c>
      <c r="CD27" s="83">
        <f>CD25/POWER((1+'Вхідні дані'!$B$13/12),CD1)</f>
        <v>21053.077982399645</v>
      </c>
      <c r="CE27" s="83">
        <f>CE25/POWER((1+'Вхідні дані'!$B$13/12),CE1)</f>
        <v>8907.2865510963529</v>
      </c>
      <c r="CF27" s="83">
        <f>CF25/POWER((1+'Вхідні дані'!$B$13/12),CF1)</f>
        <v>436.53767607716668</v>
      </c>
      <c r="CG27" s="83">
        <f>CG25/POWER((1+'Вхідні дані'!$B$13/12),CG1)</f>
        <v>427.62874391232663</v>
      </c>
      <c r="CH27" s="83">
        <f>CH25/POWER((1+'Вхідні дані'!$B$13/12),CH1)</f>
        <v>418.90162668962608</v>
      </c>
      <c r="CI27" s="83">
        <f>CI25/POWER((1+'Вхідні дані'!$B$13/12),CI1)</f>
        <v>410.35261390004189</v>
      </c>
      <c r="CJ27" s="83">
        <f>CJ25/POWER((1+'Вхідні дані'!$B$13/12),CJ1)</f>
        <v>401.97807075922481</v>
      </c>
      <c r="CK27" s="83">
        <f>CK25/POWER((1+'Вхідні дані'!$B$13/12),CK1)</f>
        <v>8445.9068459344053</v>
      </c>
      <c r="CL27" s="83">
        <f>CL25/POWER((1+'Вхідні дані'!$B$13/12),CL1)</f>
        <v>17288.17360173331</v>
      </c>
      <c r="CM27" s="83">
        <f>CM25/POWER((1+'Вхідні дані'!$B$13/12),CM1)</f>
        <v>17487.2699895531</v>
      </c>
      <c r="CN27" s="83">
        <f>CN25/POWER((1+'Вхідні дані'!$B$13/12),CN1)</f>
        <v>17130.386928541815</v>
      </c>
      <c r="CO27" s="83">
        <f>CO25/POWER((1+'Вхідні дані'!$B$13/12),CO1)</f>
        <v>15721.549330510201</v>
      </c>
      <c r="CP27" s="83">
        <f>CP25/POWER((1+'Вхідні дані'!$B$13/12),CP1)</f>
        <v>16438.3221505041</v>
      </c>
      <c r="CQ27" s="83">
        <f>CQ25/POWER((1+'Вхідні дані'!$B$13/12),CQ1)</f>
        <v>6954.8427045291028</v>
      </c>
      <c r="CR27" s="83">
        <f>CR25/POWER((1+'Вхідні дані'!$B$13/12),CR1)</f>
        <v>340.85025268931975</v>
      </c>
      <c r="CS27" s="83">
        <f>CS25/POWER((1+'Вхідні дані'!$B$13/12),CS1)</f>
        <v>333.89412508341536</v>
      </c>
      <c r="CT27" s="83">
        <f>CT25/POWER((1+'Вхідні дані'!$B$13/12),CT1)</f>
        <v>327.07995926538649</v>
      </c>
      <c r="CU27" s="83">
        <f>CU25/POWER((1+'Вхідні дані'!$B$13/12),CU1)</f>
        <v>320.40485805588884</v>
      </c>
      <c r="CV27" s="83">
        <f>CV25/POWER((1+'Вхідні дані'!$B$13/12),CV1)</f>
        <v>313.86598340168712</v>
      </c>
      <c r="CW27" s="83">
        <f>CW25/POWER((1+'Вхідні дані'!$B$13/12),CW1)</f>
        <v>6594.5957024756663</v>
      </c>
      <c r="CX27" s="83">
        <f>CX25/POWER((1+'Вхідні дані'!$B$13/12),CX1)</f>
        <v>13498.670707281586</v>
      </c>
      <c r="CY27" s="83">
        <f>CY25/POWER((1+'Вхідні дані'!$B$13/12),CY1)</f>
        <v>13654.125912678128</v>
      </c>
      <c r="CZ27" s="83">
        <f>CZ25/POWER((1+'Вхідні дані'!$B$13/12),CZ1)</f>
        <v>13375.470281807151</v>
      </c>
      <c r="DA27" s="83">
        <f>DA25/POWER((1+'Вхідні дані'!$B$13/12),DA1)</f>
        <v>12275.444607958085</v>
      </c>
      <c r="DB27" s="83">
        <f>DB25/POWER((1+'Вхідні дані'!$B$13/12),DB1)</f>
        <v>12835.103510738727</v>
      </c>
      <c r="DC27" s="83">
        <f>DC25/POWER((1+'Вхідні дані'!$B$13/12),DC1)</f>
        <v>5430.3672355514473</v>
      </c>
      <c r="DD27" s="83">
        <f>DD25/POWER((1+'Вхідні дані'!$B$13/12),DD1)</f>
        <v>266.13715407656184</v>
      </c>
      <c r="DE27" s="83">
        <f>DE25/POWER((1+'Вхідні дані'!$B$13/12),DE1)</f>
        <v>260.70578358520351</v>
      </c>
      <c r="DF27" s="83">
        <f>DF25/POWER((1+'Вхідні дані'!$B$13/12),DF1)</f>
        <v>255.38525738958705</v>
      </c>
      <c r="DG27" s="83">
        <f>DG25/POWER((1+'Вхідні дані'!$B$13/12),DG1)</f>
        <v>250.17331336122822</v>
      </c>
      <c r="DH27" s="83">
        <f>DH25/POWER((1+'Вхідні дані'!$B$13/12),DH1)</f>
        <v>245.06773553752973</v>
      </c>
      <c r="DI27" s="83">
        <f>DI25/POWER((1+'Вхідні дані'!$B$13/12),DI1)</f>
        <v>5149.08502691391</v>
      </c>
      <c r="DJ27" s="83">
        <f>DJ25/POWER((1+'Вхідні дані'!$B$13/12),DJ1)</f>
        <v>10539.812652352888</v>
      </c>
      <c r="DK27" s="83">
        <f>DK25/POWER((1+'Вхідні дані'!$B$13/12),DK1)</f>
        <v>10661.192659039678</v>
      </c>
      <c r="DL27" s="83">
        <f>DL25/POWER((1+'Вхідні дані'!$B$13/12),DL1)</f>
        <v>10443.617298651114</v>
      </c>
      <c r="DM27" s="83">
        <f>DM25/POWER((1+'Вхідні дані'!$B$13/12),DM1)</f>
        <v>9584.7131319694872</v>
      </c>
      <c r="DN27" s="83">
        <f>DN25/POWER((1+'Вхідні дані'!$B$13/12),DN1)</f>
        <v>10021.696899663544</v>
      </c>
      <c r="DO27" s="83">
        <f>DO25/POWER((1+'Вхідні дані'!$B$13/12),DO1)</f>
        <v>4240.0510789046375</v>
      </c>
      <c r="DP27" s="83">
        <f>DP25/POWER((1+'Вхідні дані'!$B$13/12),DP1)</f>
        <v>207.80088681504148</v>
      </c>
      <c r="DQ27" s="83">
        <f>DQ25/POWER((1+'Вхідні дані'!$B$13/12),DQ1)</f>
        <v>203.56005239024472</v>
      </c>
      <c r="DR27" s="83">
        <f>DR25/POWER((1+'Вхідні дані'!$B$13/12),DR1)</f>
        <v>199.40576560677033</v>
      </c>
      <c r="DS27" s="83">
        <f>DS25/POWER((1+'Вхідні дані'!$B$13/12),DS1)</f>
        <v>195.33626018622402</v>
      </c>
      <c r="DT27" s="83">
        <f>DT25/POWER((1+'Вхідні дані'!$B$13/12),DT1)</f>
        <v>191.34980589670928</v>
      </c>
      <c r="DU27" s="83">
        <f>DU25/POWER((1+'Вхідні дані'!$B$13/12),DU1)</f>
        <v>4020.424876757158</v>
      </c>
      <c r="DV27" s="83">
        <f>DV25/POWER((1+'Вхідні дані'!$B$13/12),DV1)</f>
        <v>8229.5251996016177</v>
      </c>
      <c r="DW27" s="83">
        <f>DW25/POWER((1+'Вхідні дані'!$B$13/12),DW1)</f>
        <v>8324.2991634949667</v>
      </c>
      <c r="DX27" s="83">
        <f>DX25/POWER((1+'Вхідні дані'!$B$13/12),DX1)</f>
        <v>8154.415507097111</v>
      </c>
      <c r="DY27" s="83">
        <f>DY25/POWER((1+'Вхідні дані'!$B$13/12),DY1)</f>
        <v>7483.7799164188127</v>
      </c>
      <c r="DZ27" s="83">
        <f>DZ25/POWER((1+'Вхідні дані'!$B$13/12),DZ1)</f>
        <v>7824.9784791135971</v>
      </c>
      <c r="EA27" s="83">
        <f>EA25/POWER((1+'Вхідні дані'!$B$13/12),EA1)</f>
        <v>3310.6477650391789</v>
      </c>
      <c r="EB27" s="83">
        <f>EB25/POWER((1+'Вхідні дані'!$B$13/12),EB1)</f>
        <v>162.25171081785666</v>
      </c>
      <c r="EC27" s="83">
        <f>EC25/POWER((1+'Вхідні дані'!$B$13/12),EC1)</f>
        <v>158.94045141341061</v>
      </c>
      <c r="ED27" s="83">
        <f>ED25/POWER((1+'Вхідні дані'!$B$13/12),ED1)</f>
        <v>155.69676873150425</v>
      </c>
      <c r="EE27" s="83">
        <f>EE25/POWER((1+'Вхідні дані'!$B$13/12),EE1)</f>
        <v>152.51928365535113</v>
      </c>
      <c r="EF27" s="83">
        <f>EF25/POWER((1+'Вхідні дані'!$B$13/12),EF1)</f>
        <v>149.40664521340526</v>
      </c>
      <c r="EG27" s="83">
        <f>EG25/POWER((1+'Вхідні дані'!$B$13/12),EG1)</f>
        <v>3139.1628037137989</v>
      </c>
      <c r="EH27" s="83">
        <f>EH25/POWER((1+'Вхідні дані'!$B$13/12),EH1)</f>
        <v>6425.6441024840451</v>
      </c>
      <c r="EI27" s="83">
        <f>EI25/POWER((1+'Вхідні дані'!$B$13/12),EI1)</f>
        <v>6499.6439685018086</v>
      </c>
      <c r="EJ27" s="83">
        <f>EJ25/POWER((1+'Вхідні дані'!$B$13/12),EJ1)</f>
        <v>6366.9981732262622</v>
      </c>
      <c r="EK27" s="83">
        <f>EK25/POWER((1+'Вхідні дані'!$B$13/12),EK1)</f>
        <v>5843.3633919187678</v>
      </c>
      <c r="EL27" s="83">
        <f>EL25/POWER((1+'Вхідні дані'!$B$13/12),EL1)</f>
        <v>6109.7725077523155</v>
      </c>
      <c r="EM27" s="83">
        <f>EM25/POWER((1+'Вхідні дані'!$B$13/12),EM1)</f>
        <v>2584.9661761599305</v>
      </c>
      <c r="EN27" s="83">
        <f>EN25/POWER((1+'Вхідні дані'!$B$13/12),EN1)</f>
        <v>126.6867435784967</v>
      </c>
      <c r="EO27" s="83">
        <f>EO25/POWER((1+'Вхідні дані'!$B$13/12),EO1)</f>
        <v>124.1012998319968</v>
      </c>
      <c r="EP27" s="83">
        <f>EP25/POWER((1+'Вхідні дані'!$B$13/12),EP1)</f>
        <v>121.56862024358871</v>
      </c>
      <c r="EQ27" s="83">
        <f>EQ25/POWER((1+'Вхідні дані'!$B$13/12),EQ1)</f>
        <v>119.08762799371958</v>
      </c>
      <c r="ER27" s="83">
        <f>ER25/POWER((1+'Вхідні дані'!$B$13/12),ER1)</f>
        <v>116.65726823874571</v>
      </c>
      <c r="ES27" s="83">
        <f>ES25/POWER((1+'Вхідні дані'!$B$13/12),ES1)</f>
        <v>2451.0700759987117</v>
      </c>
      <c r="ET27" s="83">
        <f>ET25/POWER((1+'Вхідні дані'!$B$13/12),ET1)</f>
        <v>5017.1669847717012</v>
      </c>
      <c r="EU27" s="83">
        <f>EU25/POWER((1+'Вхідні дані'!$B$13/12),EU1)</f>
        <v>5074.9463573513822</v>
      </c>
      <c r="EV27" s="83">
        <f>EV25/POWER((1+'Вхідні дані'!$B$13/12),EV1)</f>
        <v>4971.3760235278851</v>
      </c>
      <c r="EW27" s="83">
        <f>EW25/POWER((1+'Вхідні дані'!$B$13/12),EW1)</f>
        <v>4562.5200248213123</v>
      </c>
      <c r="EX27" s="83">
        <f>EX25/POWER((1+'Вхідні дані'!$B$13/12),EX1)</f>
        <v>4770.5332603949391</v>
      </c>
      <c r="EY27" s="83">
        <f>EY25/POWER((1+'Вхідні дані'!$B$13/12),EY1)</f>
        <v>2018.3512732626257</v>
      </c>
      <c r="EZ27" s="83">
        <f>EZ25/POWER((1+'Вхідні дані'!$B$13/12),EZ1)</f>
        <v>98.917483936677513</v>
      </c>
      <c r="FA27" s="83">
        <f>FA25/POWER((1+'Вхідні дані'!$B$13/12),FA1)</f>
        <v>96.898759774704516</v>
      </c>
      <c r="FB27" s="83">
        <f>FB25/POWER((1+'Вхідні дані'!$B$13/12),FB1)</f>
        <v>94.921234065016662</v>
      </c>
      <c r="FC27" s="83">
        <f>FC25/POWER((1+'Вхідні дані'!$B$13/12),FC1)</f>
        <v>92.984066022873478</v>
      </c>
      <c r="FD27" s="83">
        <f>FD25/POWER((1+'Вхідні дані'!$B$13/12),FD1)</f>
        <v>91.086432022406697</v>
      </c>
      <c r="FE27" s="83">
        <f>FE25/POWER((1+'Вхідні дані'!$B$13/12),FE1)</f>
        <v>1913.8046967009309</v>
      </c>
      <c r="FF27" s="83">
        <f>FF25/POWER((1+'Вхідні дані'!$B$13/12),FF1)</f>
        <v>3917.4227753062323</v>
      </c>
      <c r="FG27" s="83">
        <f>FG25/POWER((1+'Вхідні дані'!$B$13/12),FG1)</f>
        <v>3962.537125849788</v>
      </c>
      <c r="FH27" s="83">
        <f>FH25/POWER((1+'Вхідні дані'!$B$13/12),FH1)</f>
        <v>3881.6690212406093</v>
      </c>
      <c r="FI27" s="83">
        <f>FI25/POWER((1+'Вхідні дані'!$B$13/12),FI1)</f>
        <v>3562.4327259338888</v>
      </c>
      <c r="FJ27" s="83">
        <f>FJ25/POWER((1+'Вхідні дані'!$B$13/12),FJ1)</f>
        <v>3724.8502394578777</v>
      </c>
      <c r="FK27" s="83">
        <f>FK25/POWER((1+'Вхідні дані'!$B$13/12),FK1)</f>
        <v>1575.9362346212852</v>
      </c>
      <c r="FL27" s="83">
        <f>FL25/POWER((1+'Вхідні дані'!$B$13/12),FL1)</f>
        <v>77.235141988633956</v>
      </c>
      <c r="FM27" s="83">
        <f>FM25/POWER((1+'Вхідні дані'!$B$13/12),FM1)</f>
        <v>75.658914601110823</v>
      </c>
      <c r="FN27" s="83">
        <f>FN25/POWER((1+'Вхідні дані'!$B$13/12),FN1)</f>
        <v>74.114855119455498</v>
      </c>
      <c r="FO27" s="83">
        <f>FO25/POWER((1+'Вхідні дані'!$B$13/12),FO1)</f>
        <v>72.602307055793133</v>
      </c>
      <c r="FP27" s="83">
        <f>FP25/POWER((1+'Вхідні дані'!$B$13/12),FP1)</f>
        <v>71.120627319960661</v>
      </c>
      <c r="FQ27" s="83">
        <f>FQ25/POWER((1+'Вхідні дані'!$B$13/12),FQ1)</f>
        <v>1494.3058760252547</v>
      </c>
      <c r="FR27" s="83">
        <f>FR25/POWER((1+'Вхідні дані'!$B$13/12),FR1)</f>
        <v>3058.738377069641</v>
      </c>
      <c r="FS27" s="83">
        <f>FS25/POWER((1+'Вхідні дані'!$B$13/12),FS1)</f>
        <v>3093.9638309660136</v>
      </c>
      <c r="FT27" s="83">
        <f>FT25/POWER((1+'Вхідні дані'!$B$13/12),FT1)</f>
        <v>3030.8217119667074</v>
      </c>
      <c r="FU27" s="83">
        <f>FU25/POWER((1+'Вхідні дані'!$B$13/12),FU1)</f>
        <v>2781.5608167773007</v>
      </c>
      <c r="FV27" s="83">
        <f>FV25/POWER((1+'Вхідні дані'!$B$13/12),FV1)</f>
        <v>2908.3770197298186</v>
      </c>
      <c r="FW27" s="83">
        <f>FW25/POWER((1+'Вхідні дані'!$B$13/12),FW1)</f>
        <v>1230.4969152260912</v>
      </c>
      <c r="FX27" s="83">
        <f>FX25/POWER((1+'Вхідні дані'!$B$13/12),FX1)</f>
        <v>60.305488176621438</v>
      </c>
      <c r="FY27" s="83">
        <f>FY25/POWER((1+'Вхідні дані'!$B$13/12),FY1)</f>
        <v>59.074763928118976</v>
      </c>
      <c r="FZ27" s="83">
        <f>FZ25/POWER((1+'Вхідні дані'!$B$13/12),FZ1)</f>
        <v>57.869156501014501</v>
      </c>
      <c r="GA27" s="83">
        <f>GA25/POWER((1+'Вхідні дані'!$B$13/12),GA1)</f>
        <v>56.688153307116252</v>
      </c>
      <c r="GB27" s="83">
        <f>GB25/POWER((1+'Вхідні дані'!$B$13/12),GB1)</f>
        <v>55.531252219215936</v>
      </c>
      <c r="GC27" s="83">
        <f>GC25/POWER((1+'Вхідні дані'!$B$13/12),GC1)</f>
        <v>1166.7596254585558</v>
      </c>
      <c r="GD27" s="83">
        <f>GD25/POWER((1+'Вхідні дані'!$B$13/12),GD1)</f>
        <v>2388.274382416449</v>
      </c>
      <c r="GE27" s="83">
        <f>GE25/POWER((1+'Вхідні дані'!$B$13/12),GE1)</f>
        <v>2415.7785487682945</v>
      </c>
      <c r="GF27" s="83">
        <f>GF25/POWER((1+'Вхідні дані'!$B$13/12),GF1)</f>
        <v>2366.4769457322072</v>
      </c>
      <c r="GG27" s="83">
        <f>GG25/POWER((1+'Вхідні дані'!$B$13/12),GG1)</f>
        <v>2171.8531050723304</v>
      </c>
      <c r="GH27" s="83">
        <f>GH25/POWER((1+'Вхідні дані'!$B$13/12),GH1)</f>
        <v>2270.8716713731801</v>
      </c>
      <c r="GI27" s="83">
        <f>GI25/POWER((1+'Вхідні дані'!$B$13/12),GI1)</f>
        <v>960.77660067558929</v>
      </c>
      <c r="GJ27" s="83">
        <f>GJ25/POWER((1+'Вхідні дані'!$B$13/12),GJ1)</f>
        <v>47.086751064118182</v>
      </c>
      <c r="GK27" s="83">
        <f>GK25/POWER((1+'Вхідні дані'!$B$13/12),GK1)</f>
        <v>46.125796960768831</v>
      </c>
      <c r="GL27" s="83">
        <f>GL25/POWER((1+'Вхідні дані'!$B$13/12),GL1)</f>
        <v>45.184454165651104</v>
      </c>
      <c r="GM27" s="83">
        <f>GM25/POWER((1+'Вхідні дані'!$B$13/12),GM1)</f>
        <v>44.262322447984765</v>
      </c>
      <c r="GN27" s="83">
        <f>GN25/POWER((1+'Вхідні дані'!$B$13/12),GN1)</f>
        <v>43.359009744964673</v>
      </c>
      <c r="GO27" s="83">
        <f>GO25/POWER((1+'Вхідні дані'!$B$13/12),GO1)</f>
        <v>911.01028607424303</v>
      </c>
      <c r="GP27" s="83">
        <f>GP25/POWER((1+'Вхідні дані'!$B$13/12),GP1)</f>
        <v>1864.7735839281315</v>
      </c>
      <c r="GQ27" s="83">
        <f>GQ25/POWER((1+'Вхідні дані'!$B$13/12),GQ1)</f>
        <v>1886.2489400423613</v>
      </c>
      <c r="GR27" s="83">
        <f>GR25/POWER((1+'Вхідні дані'!$B$13/12),GR1)</f>
        <v>1847.7540637149666</v>
      </c>
      <c r="GS27" s="83">
        <f>GS25/POWER((1+'Вхідні дані'!$B$13/12),GS1)</f>
        <v>1695.7910398944102</v>
      </c>
      <c r="GT27" s="83">
        <f>GT25/POWER((1+'Вхідні дані'!$B$13/12),GT1)</f>
        <v>1773.1051073716301</v>
      </c>
      <c r="GU27" s="83">
        <f>GU25/POWER((1+'Вхідні дані'!$B$13/12),GU1)</f>
        <v>750.17796874048418</v>
      </c>
      <c r="GV27" s="83">
        <f>GV25/POWER((1+'Вхідні дані'!$B$13/12),GV1)</f>
        <v>36.765511611159788</v>
      </c>
      <c r="GW27" s="83">
        <f>GW25/POWER((1+'Вхідні дані'!$B$13/12),GW1)</f>
        <v>36.01519504766673</v>
      </c>
      <c r="GX27" s="83">
        <f>GX25/POWER((1+'Вхідні дані'!$B$13/12),GX1)</f>
        <v>35.280191067102095</v>
      </c>
      <c r="GY27" s="83">
        <f>GY25/POWER((1+'Вхідні дані'!$B$13/12),GY1)</f>
        <v>34.560187167773492</v>
      </c>
      <c r="GZ27" s="83">
        <f>GZ25/POWER((1+'Вхідні дані'!$B$13/12),GZ1)</f>
        <v>33.854877225574043</v>
      </c>
      <c r="HA27" s="83">
        <f>HA25/POWER((1+'Вхідні дані'!$B$13/12),HA1)</f>
        <v>711.32024388219133</v>
      </c>
      <c r="HB27" s="83">
        <f>HB25/POWER((1+'Вхідні дані'!$B$13/12),HB1)</f>
        <v>1456.0221995086531</v>
      </c>
      <c r="HC27" s="83">
        <f>HC25/POWER((1+'Вхідні дані'!$B$13/12),HC1)</f>
        <v>1472.7902380062844</v>
      </c>
      <c r="HD27" s="83">
        <f>HD25/POWER((1+'Вхідні дані'!$B$13/12),HD1)</f>
        <v>1442.7332943735034</v>
      </c>
      <c r="HE27" s="83">
        <f>HE25/POWER((1+'Вхідні дані'!$B$13/12),HE1)</f>
        <v>1324.0799961424618</v>
      </c>
      <c r="HF27" s="83">
        <f>HF25/POWER((1+'Вхідні дані'!$B$13/12),HF1)</f>
        <v>1384.4471096362149</v>
      </c>
      <c r="HG27" s="83">
        <f>HG25/POWER((1+'Вхідні дані'!$B$13/12),HG1)</f>
        <v>585.74176805292484</v>
      </c>
      <c r="HH27" s="83">
        <f>HH25/POWER((1+'Вхідні дані'!$B$13/12),HH1)</f>
        <v>28.706649184389612</v>
      </c>
      <c r="HI27" s="83">
        <f>HI25/POWER((1+'Вхідні дані'!$B$13/12),HI1)</f>
        <v>28.120799201034721</v>
      </c>
      <c r="HJ27" s="83">
        <f>HJ25/POWER((1+'Вхідні дані'!$B$13/12),HJ1)</f>
        <v>27.546905339789113</v>
      </c>
      <c r="HK27" s="83">
        <f>HK25/POWER((1+'Вхідні дані'!$B$13/12),HK1)</f>
        <v>26.98472359816077</v>
      </c>
      <c r="HL27" s="83">
        <f>HL25/POWER((1+'Вхідні дані'!$B$13/12),HL1)</f>
        <v>26.434014953300348</v>
      </c>
      <c r="HM27" s="83">
        <f>HM25/POWER((1+'Вхідні дані'!$B$13/12),HM1)</f>
        <v>555.40151092803967</v>
      </c>
      <c r="HN27" s="83">
        <f>HN25/POWER((1+'Вхідні дані'!$B$13/12),HN1)</f>
        <v>1136.8675874291666</v>
      </c>
      <c r="HO27" s="83">
        <f>HO25/POWER((1+'Вхідні дані'!$B$13/12),HO1)</f>
        <v>1149.9601346988131</v>
      </c>
      <c r="HP27" s="83">
        <f>HP25/POWER((1+'Вхідні дані'!$B$13/12),HP1)</f>
        <v>1126.4915605212864</v>
      </c>
      <c r="HQ27" s="83">
        <f>HQ25/POWER((1+'Вхідні дані'!$B$13/12),HQ1)</f>
        <v>1033.84662080405</v>
      </c>
      <c r="HR27" s="83">
        <f>HR25/POWER((1+'Вхідні дані'!$B$13/12),HR1)</f>
        <v>1080.9814891466242</v>
      </c>
      <c r="HS27" s="83">
        <f>HS25/POWER((1+'Вхідні дані'!$B$13/12),HS1)</f>
        <v>457.3493666013751</v>
      </c>
      <c r="HT27" s="83">
        <f>HT25/POWER((1+'Вхідні дані'!$B$13/12),HT1)</f>
        <v>22.414259214210919</v>
      </c>
      <c r="HU27" s="83">
        <f>HU25/POWER((1+'Вхідні дані'!$B$13/12),HU1)</f>
        <v>21.956825352696409</v>
      </c>
      <c r="HV27" s="83">
        <f>HV25/POWER((1+'Вхідні дані'!$B$13/12),HV1)</f>
        <v>21.508726876110771</v>
      </c>
      <c r="HW27" s="83">
        <f>HW25/POWER((1+'Вхідні дані'!$B$13/12),HW1)</f>
        <v>21.069773266394225</v>
      </c>
      <c r="HX27" s="83">
        <f>HX25/POWER((1+'Вхідні дані'!$B$13/12),HX1)</f>
        <v>20.639777893610677</v>
      </c>
      <c r="HY27" s="83">
        <f>HY25/POWER((1+'Вхідні дані'!$B$13/12),HY1)</f>
        <v>433.6595801879613</v>
      </c>
      <c r="HZ27" s="83">
        <f>HZ25/POWER((1+'Вхідні дані'!$B$13/12),HZ1)</f>
        <v>887.67047080955808</v>
      </c>
      <c r="IA27" s="83">
        <f>IA25/POWER((1+'Вхідні дані'!$B$13/12),IA1)</f>
        <v>897.89318076052427</v>
      </c>
      <c r="IB27" s="83">
        <f>IB25/POWER((1+'Вхідні дані'!$B$13/12),IB1)</f>
        <v>879.56883013275876</v>
      </c>
      <c r="IC27" s="83">
        <f>IC25/POWER((1+'Вхідні дані'!$B$13/12),IC1)</f>
        <v>807.23131416672607</v>
      </c>
      <c r="ID27" s="83">
        <f>ID25/POWER((1+'Вхідні дані'!$B$13/12),ID1)</f>
        <v>844.03439592914458</v>
      </c>
      <c r="IE27" s="83">
        <f>IE25/POWER((1+'Вхідні дані'!$B$13/12),IE1)</f>
        <v>357.10009860826494</v>
      </c>
      <c r="IF27" s="83">
        <f>IF25/POWER((1+'Вхідні дані'!$B$13/12),IF1)</f>
        <v>17.501137555094335</v>
      </c>
      <c r="IG27" s="83">
        <f>IG25/POWER((1+'Вхідні дані'!$B$13/12),IG1)</f>
        <v>17.143971482541392</v>
      </c>
    </row>
    <row r="28" spans="1:241" ht="60" outlineLevel="1" x14ac:dyDescent="0.25">
      <c r="A28" s="94" t="s">
        <v>318</v>
      </c>
      <c r="B28" s="83">
        <f>B27</f>
        <v>0</v>
      </c>
      <c r="C28" s="83">
        <f t="shared" ref="C28:BN28" si="42">B28+C27</f>
        <v>1030.8167547788421</v>
      </c>
      <c r="D28" s="83">
        <f t="shared" si="42"/>
        <v>2040.5964329295448</v>
      </c>
      <c r="E28" s="83">
        <f t="shared" si="42"/>
        <v>-92355.882556232536</v>
      </c>
      <c r="F28" s="83">
        <f t="shared" si="42"/>
        <v>-162180.90530092284</v>
      </c>
      <c r="G28" s="83">
        <f t="shared" si="42"/>
        <v>-229194.49916370574</v>
      </c>
      <c r="H28" s="83">
        <f t="shared" si="42"/>
        <v>-294375.54969943408</v>
      </c>
      <c r="I28" s="83">
        <f t="shared" si="42"/>
        <v>-360887.20859528298</v>
      </c>
      <c r="J28" s="83">
        <f t="shared" si="42"/>
        <v>-423434.95554835175</v>
      </c>
      <c r="K28" s="83">
        <f t="shared" si="42"/>
        <v>-507686.24759140908</v>
      </c>
      <c r="L28" s="83">
        <f t="shared" si="42"/>
        <v>-606476.10572239803</v>
      </c>
      <c r="M28" s="83">
        <f t="shared" si="42"/>
        <v>-703249.84429969336</v>
      </c>
      <c r="N28" s="83">
        <f t="shared" si="42"/>
        <v>-798048.60862030915</v>
      </c>
      <c r="O28" s="83">
        <f t="shared" si="42"/>
        <v>-890912.70428132056</v>
      </c>
      <c r="P28" s="83">
        <f t="shared" si="42"/>
        <v>-981881.614316597</v>
      </c>
      <c r="Q28" s="83">
        <f t="shared" si="42"/>
        <v>-1047303.8382078902</v>
      </c>
      <c r="R28" s="83">
        <f t="shared" si="42"/>
        <v>-1084868.9663755945</v>
      </c>
      <c r="S28" s="83">
        <f t="shared" si="42"/>
        <v>-1120043.6665216782</v>
      </c>
      <c r="T28" s="83">
        <f t="shared" si="42"/>
        <v>-1153955.9999432024</v>
      </c>
      <c r="U28" s="83">
        <f t="shared" si="42"/>
        <v>-1191850.8203161361</v>
      </c>
      <c r="V28" s="83">
        <f t="shared" si="42"/>
        <v>-1224393.1011171322</v>
      </c>
      <c r="W28" s="83">
        <f t="shared" si="42"/>
        <v>-1281690.3525612354</v>
      </c>
      <c r="X28" s="83">
        <f t="shared" si="42"/>
        <v>-1358324.4360993572</v>
      </c>
      <c r="Y28" s="83">
        <f t="shared" si="42"/>
        <v>-1433394.5587489458</v>
      </c>
      <c r="Z28" s="83">
        <f t="shared" si="42"/>
        <v>-1506932.6380791552</v>
      </c>
      <c r="AA28" s="83">
        <f t="shared" si="42"/>
        <v>-1578969.9402801767</v>
      </c>
      <c r="AB28" s="83">
        <f t="shared" si="42"/>
        <v>-1649537.0934566874</v>
      </c>
      <c r="AC28" s="83">
        <f t="shared" si="42"/>
        <v>-1690918.031328778</v>
      </c>
      <c r="AD28" s="83">
        <f t="shared" si="42"/>
        <v>-1700391.8053977913</v>
      </c>
      <c r="AE28" s="83">
        <f t="shared" si="42"/>
        <v>-1707770.4419429323</v>
      </c>
      <c r="AF28" s="83">
        <f t="shared" si="42"/>
        <v>-1714998.4940687846</v>
      </c>
      <c r="AG28" s="83">
        <f t="shared" si="42"/>
        <v>-1727553.9238873171</v>
      </c>
      <c r="AH28" s="83">
        <f t="shared" si="42"/>
        <v>-1734489.9639114586</v>
      </c>
      <c r="AI28" s="83">
        <f t="shared" si="42"/>
        <v>-1771055.443464054</v>
      </c>
      <c r="AJ28" s="83">
        <f t="shared" si="42"/>
        <v>-1830891.6229510359</v>
      </c>
      <c r="AK28" s="83">
        <f t="shared" si="42"/>
        <v>-1889506.655917875</v>
      </c>
      <c r="AL28" s="83">
        <f t="shared" si="42"/>
        <v>-1946925.4637221256</v>
      </c>
      <c r="AM28" s="83">
        <f t="shared" si="42"/>
        <v>-2003172.4591222079</v>
      </c>
      <c r="AN28" s="83">
        <f t="shared" si="42"/>
        <v>-2058271.5566569825</v>
      </c>
      <c r="AO28" s="83">
        <f t="shared" si="42"/>
        <v>-2090581.9479546396</v>
      </c>
      <c r="AP28" s="83">
        <f t="shared" si="42"/>
        <v>-2097979.10623514</v>
      </c>
      <c r="AQ28" s="83">
        <f t="shared" si="42"/>
        <v>-2103740.3732889127</v>
      </c>
      <c r="AR28" s="83">
        <f t="shared" si="42"/>
        <v>-2109384.0634640371</v>
      </c>
      <c r="AS28" s="83">
        <f t="shared" si="42"/>
        <v>-2119187.3900972079</v>
      </c>
      <c r="AT28" s="83">
        <f t="shared" si="42"/>
        <v>-2124603.0761294807</v>
      </c>
      <c r="AU28" s="83">
        <f t="shared" si="42"/>
        <v>-2153153.5395332514</v>
      </c>
      <c r="AV28" s="83">
        <f t="shared" si="42"/>
        <v>-2199873.852614535</v>
      </c>
      <c r="AW28" s="83">
        <f t="shared" si="42"/>
        <v>-2245640.6899186498</v>
      </c>
      <c r="AX28" s="83">
        <f t="shared" si="42"/>
        <v>-2290473.5101349256</v>
      </c>
      <c r="AY28" s="83">
        <f t="shared" si="42"/>
        <v>-2334391.3748365832</v>
      </c>
      <c r="AZ28" s="83">
        <f t="shared" si="42"/>
        <v>-2377412.956585146</v>
      </c>
      <c r="BA28" s="83">
        <f t="shared" si="42"/>
        <v>-2402641.0311405035</v>
      </c>
      <c r="BB28" s="83">
        <f t="shared" si="42"/>
        <v>-2408416.760034625</v>
      </c>
      <c r="BC28" s="83">
        <f t="shared" si="42"/>
        <v>-2412915.1789311008</v>
      </c>
      <c r="BD28" s="83">
        <f t="shared" si="42"/>
        <v>-2417321.7933603013</v>
      </c>
      <c r="BE28" s="83">
        <f t="shared" si="42"/>
        <v>-2423863.6706391633</v>
      </c>
      <c r="BF28" s="83">
        <f t="shared" si="42"/>
        <v>-2428092.258579554</v>
      </c>
      <c r="BG28" s="83">
        <f t="shared" si="42"/>
        <v>-2451452.2155008744</v>
      </c>
      <c r="BH28" s="83">
        <f t="shared" si="42"/>
        <v>-2487931.6109624123</v>
      </c>
      <c r="BI28" s="83">
        <f t="shared" si="42"/>
        <v>-2523666.5289655514</v>
      </c>
      <c r="BJ28" s="83">
        <f t="shared" si="42"/>
        <v>-2558672.1629278101</v>
      </c>
      <c r="BK28" s="83">
        <f t="shared" si="42"/>
        <v>-2592963.3961969614</v>
      </c>
      <c r="BL28" s="83">
        <f t="shared" si="42"/>
        <v>-2626554.8083789875</v>
      </c>
      <c r="BM28" s="83">
        <f t="shared" si="42"/>
        <v>-2612701.2126280246</v>
      </c>
      <c r="BN28" s="83">
        <f t="shared" si="42"/>
        <v>-2584343.8825366832</v>
      </c>
      <c r="BO28" s="83">
        <f t="shared" ref="BO28:DZ28" si="43">BN28+BO27</f>
        <v>-2555659.9799502091</v>
      </c>
      <c r="BP28" s="83">
        <f t="shared" si="43"/>
        <v>-2527561.4631308061</v>
      </c>
      <c r="BQ28" s="83">
        <f t="shared" si="43"/>
        <v>-2501773.825050408</v>
      </c>
      <c r="BR28" s="83">
        <f t="shared" si="43"/>
        <v>-2474810.4836293734</v>
      </c>
      <c r="BS28" s="83">
        <f t="shared" si="43"/>
        <v>-2463402.6406235676</v>
      </c>
      <c r="BT28" s="83">
        <f t="shared" si="43"/>
        <v>-2462843.5530443997</v>
      </c>
      <c r="BU28" s="83">
        <f t="shared" si="43"/>
        <v>-2462295.8754158271</v>
      </c>
      <c r="BV28" s="83">
        <f t="shared" si="43"/>
        <v>-2461759.374881715</v>
      </c>
      <c r="BW28" s="83">
        <f t="shared" si="43"/>
        <v>-2461233.8233380951</v>
      </c>
      <c r="BX28" s="83">
        <f t="shared" si="43"/>
        <v>-2460718.9973361818</v>
      </c>
      <c r="BY28" s="83">
        <f t="shared" si="43"/>
        <v>-2449902.0578802237</v>
      </c>
      <c r="BZ28" s="83">
        <f t="shared" si="43"/>
        <v>-2427760.5483223647</v>
      </c>
      <c r="CA28" s="83">
        <f t="shared" si="43"/>
        <v>-2405364.049737012</v>
      </c>
      <c r="CB28" s="83">
        <f t="shared" si="43"/>
        <v>-2383424.6225513602</v>
      </c>
      <c r="CC28" s="83">
        <f t="shared" si="43"/>
        <v>-2363289.5381413479</v>
      </c>
      <c r="CD28" s="83">
        <f t="shared" si="43"/>
        <v>-2342236.4601589483</v>
      </c>
      <c r="CE28" s="83">
        <f t="shared" si="43"/>
        <v>-2333329.1736078518</v>
      </c>
      <c r="CF28" s="83">
        <f t="shared" si="43"/>
        <v>-2332892.6359317745</v>
      </c>
      <c r="CG28" s="83">
        <f t="shared" si="43"/>
        <v>-2332465.0071878619</v>
      </c>
      <c r="CH28" s="83">
        <f t="shared" si="43"/>
        <v>-2332046.1055611721</v>
      </c>
      <c r="CI28" s="83">
        <f t="shared" si="43"/>
        <v>-2331635.7529472723</v>
      </c>
      <c r="CJ28" s="83">
        <f t="shared" si="43"/>
        <v>-2331233.7748765131</v>
      </c>
      <c r="CK28" s="83">
        <f t="shared" si="43"/>
        <v>-2322787.8680305788</v>
      </c>
      <c r="CL28" s="83">
        <f t="shared" si="43"/>
        <v>-2305499.6944288453</v>
      </c>
      <c r="CM28" s="83">
        <f t="shared" si="43"/>
        <v>-2288012.4244392924</v>
      </c>
      <c r="CN28" s="83">
        <f t="shared" si="43"/>
        <v>-2270882.0375107508</v>
      </c>
      <c r="CO28" s="83">
        <f t="shared" si="43"/>
        <v>-2255160.4881802406</v>
      </c>
      <c r="CP28" s="83">
        <f t="shared" si="43"/>
        <v>-2238722.1660297364</v>
      </c>
      <c r="CQ28" s="83">
        <f t="shared" si="43"/>
        <v>-2231767.3233252075</v>
      </c>
      <c r="CR28" s="83">
        <f t="shared" si="43"/>
        <v>-2231426.4730725181</v>
      </c>
      <c r="CS28" s="83">
        <f t="shared" si="43"/>
        <v>-2231092.5789474347</v>
      </c>
      <c r="CT28" s="83">
        <f t="shared" si="43"/>
        <v>-2230765.4989881692</v>
      </c>
      <c r="CU28" s="83">
        <f t="shared" si="43"/>
        <v>-2230445.0941301133</v>
      </c>
      <c r="CV28" s="83">
        <f t="shared" si="43"/>
        <v>-2230131.2281467114</v>
      </c>
      <c r="CW28" s="83">
        <f t="shared" si="43"/>
        <v>-2223536.6324442355</v>
      </c>
      <c r="CX28" s="83">
        <f t="shared" si="43"/>
        <v>-2210037.9617369538</v>
      </c>
      <c r="CY28" s="83">
        <f t="shared" si="43"/>
        <v>-2196383.8358242759</v>
      </c>
      <c r="CZ28" s="83">
        <f t="shared" si="43"/>
        <v>-2183008.3655424686</v>
      </c>
      <c r="DA28" s="83">
        <f t="shared" si="43"/>
        <v>-2170732.9209345104</v>
      </c>
      <c r="DB28" s="83">
        <f t="shared" si="43"/>
        <v>-2157897.8174237716</v>
      </c>
      <c r="DC28" s="83">
        <f t="shared" si="43"/>
        <v>-2152467.45018822</v>
      </c>
      <c r="DD28" s="83">
        <f t="shared" si="43"/>
        <v>-2152201.3130341433</v>
      </c>
      <c r="DE28" s="83">
        <f t="shared" si="43"/>
        <v>-2151940.6072505582</v>
      </c>
      <c r="DF28" s="83">
        <f t="shared" si="43"/>
        <v>-2151685.2219931688</v>
      </c>
      <c r="DG28" s="83">
        <f t="shared" si="43"/>
        <v>-2151435.0486798077</v>
      </c>
      <c r="DH28" s="83">
        <f t="shared" si="43"/>
        <v>-2151189.9809442703</v>
      </c>
      <c r="DI28" s="83">
        <f t="shared" si="43"/>
        <v>-2146040.8959173565</v>
      </c>
      <c r="DJ28" s="83">
        <f t="shared" si="43"/>
        <v>-2135501.0832650037</v>
      </c>
      <c r="DK28" s="83">
        <f t="shared" si="43"/>
        <v>-2124839.8906059642</v>
      </c>
      <c r="DL28" s="83">
        <f t="shared" si="43"/>
        <v>-2114396.2733073132</v>
      </c>
      <c r="DM28" s="83">
        <f t="shared" si="43"/>
        <v>-2104811.5601753439</v>
      </c>
      <c r="DN28" s="83">
        <f t="shared" si="43"/>
        <v>-2094789.8632756802</v>
      </c>
      <c r="DO28" s="83">
        <f t="shared" si="43"/>
        <v>-2090549.8121967756</v>
      </c>
      <c r="DP28" s="83">
        <f t="shared" si="43"/>
        <v>-2090342.0113099606</v>
      </c>
      <c r="DQ28" s="83">
        <f t="shared" si="43"/>
        <v>-2090138.4512575704</v>
      </c>
      <c r="DR28" s="83">
        <f t="shared" si="43"/>
        <v>-2089939.0454919636</v>
      </c>
      <c r="DS28" s="83">
        <f t="shared" si="43"/>
        <v>-2089743.7092317773</v>
      </c>
      <c r="DT28" s="83">
        <f t="shared" si="43"/>
        <v>-2089552.3594258807</v>
      </c>
      <c r="DU28" s="83">
        <f t="shared" si="43"/>
        <v>-2085531.9345491235</v>
      </c>
      <c r="DV28" s="83">
        <f t="shared" si="43"/>
        <v>-2077302.4093495219</v>
      </c>
      <c r="DW28" s="83">
        <f t="shared" si="43"/>
        <v>-2068978.1101860269</v>
      </c>
      <c r="DX28" s="83">
        <f t="shared" si="43"/>
        <v>-2060823.6946789299</v>
      </c>
      <c r="DY28" s="83">
        <f t="shared" si="43"/>
        <v>-2053339.9147625112</v>
      </c>
      <c r="DZ28" s="83">
        <f t="shared" si="43"/>
        <v>-2045514.9362833975</v>
      </c>
      <c r="EA28" s="83">
        <f t="shared" ref="EA28:GL28" si="44">DZ28+EA27</f>
        <v>-2042204.2885183583</v>
      </c>
      <c r="EB28" s="83">
        <f t="shared" si="44"/>
        <v>-2042042.0368075403</v>
      </c>
      <c r="EC28" s="83">
        <f t="shared" si="44"/>
        <v>-2041883.0963561269</v>
      </c>
      <c r="ED28" s="83">
        <f t="shared" si="44"/>
        <v>-2041727.3995873954</v>
      </c>
      <c r="EE28" s="83">
        <f t="shared" si="44"/>
        <v>-2041574.88030374</v>
      </c>
      <c r="EF28" s="83">
        <f t="shared" si="44"/>
        <v>-2041425.4736585265</v>
      </c>
      <c r="EG28" s="83">
        <f t="shared" si="44"/>
        <v>-2038286.3108548129</v>
      </c>
      <c r="EH28" s="83">
        <f t="shared" si="44"/>
        <v>-2031860.6667523289</v>
      </c>
      <c r="EI28" s="83">
        <f t="shared" si="44"/>
        <v>-2025361.022783827</v>
      </c>
      <c r="EJ28" s="83">
        <f t="shared" si="44"/>
        <v>-2018994.0246106007</v>
      </c>
      <c r="EK28" s="83">
        <f t="shared" si="44"/>
        <v>-2013150.6612186818</v>
      </c>
      <c r="EL28" s="83">
        <f t="shared" si="44"/>
        <v>-2007040.8887109295</v>
      </c>
      <c r="EM28" s="83">
        <f t="shared" si="44"/>
        <v>-2004455.9225347696</v>
      </c>
      <c r="EN28" s="83">
        <f t="shared" si="44"/>
        <v>-2004329.2357911912</v>
      </c>
      <c r="EO28" s="83">
        <f t="shared" si="44"/>
        <v>-2004205.1344913591</v>
      </c>
      <c r="EP28" s="83">
        <f t="shared" si="44"/>
        <v>-2004083.5658711155</v>
      </c>
      <c r="EQ28" s="83">
        <f t="shared" si="44"/>
        <v>-2003964.4782431219</v>
      </c>
      <c r="ER28" s="83">
        <f t="shared" si="44"/>
        <v>-2003847.8209748832</v>
      </c>
      <c r="ES28" s="83">
        <f t="shared" si="44"/>
        <v>-2001396.7508988844</v>
      </c>
      <c r="ET28" s="83">
        <f t="shared" si="44"/>
        <v>-1996379.5839141128</v>
      </c>
      <c r="EU28" s="83">
        <f t="shared" si="44"/>
        <v>-1991304.6375567613</v>
      </c>
      <c r="EV28" s="83">
        <f t="shared" si="44"/>
        <v>-1986333.2615332333</v>
      </c>
      <c r="EW28" s="83">
        <f t="shared" si="44"/>
        <v>-1981770.7415084119</v>
      </c>
      <c r="EX28" s="83">
        <f t="shared" si="44"/>
        <v>-1977000.2082480169</v>
      </c>
      <c r="EY28" s="83">
        <f t="shared" si="44"/>
        <v>-1974981.8569747542</v>
      </c>
      <c r="EZ28" s="83">
        <f t="shared" si="44"/>
        <v>-1974882.9394908175</v>
      </c>
      <c r="FA28" s="83">
        <f t="shared" si="44"/>
        <v>-1974786.0407310429</v>
      </c>
      <c r="FB28" s="83">
        <f t="shared" si="44"/>
        <v>-1974691.1194969779</v>
      </c>
      <c r="FC28" s="83">
        <f t="shared" si="44"/>
        <v>-1974598.1354309551</v>
      </c>
      <c r="FD28" s="83">
        <f t="shared" si="44"/>
        <v>-1974507.0489989326</v>
      </c>
      <c r="FE28" s="83">
        <f t="shared" si="44"/>
        <v>-1972593.2443022316</v>
      </c>
      <c r="FF28" s="83">
        <f t="shared" si="44"/>
        <v>-1968675.8215269253</v>
      </c>
      <c r="FG28" s="83">
        <f t="shared" si="44"/>
        <v>-1964713.2844010754</v>
      </c>
      <c r="FH28" s="83">
        <f t="shared" si="44"/>
        <v>-1960831.6153798348</v>
      </c>
      <c r="FI28" s="83">
        <f t="shared" si="44"/>
        <v>-1957269.1826539009</v>
      </c>
      <c r="FJ28" s="83">
        <f t="shared" si="44"/>
        <v>-1953544.3324144431</v>
      </c>
      <c r="FK28" s="83">
        <f t="shared" si="44"/>
        <v>-1951968.3961798218</v>
      </c>
      <c r="FL28" s="83">
        <f t="shared" si="44"/>
        <v>-1951891.1610378332</v>
      </c>
      <c r="FM28" s="83">
        <f t="shared" si="44"/>
        <v>-1951815.502123232</v>
      </c>
      <c r="FN28" s="83">
        <f t="shared" si="44"/>
        <v>-1951741.3872681125</v>
      </c>
      <c r="FO28" s="83">
        <f t="shared" si="44"/>
        <v>-1951668.7849610567</v>
      </c>
      <c r="FP28" s="83">
        <f t="shared" si="44"/>
        <v>-1951597.6643337368</v>
      </c>
      <c r="FQ28" s="83">
        <f t="shared" si="44"/>
        <v>-1950103.3584577115</v>
      </c>
      <c r="FR28" s="83">
        <f t="shared" si="44"/>
        <v>-1947044.6200806419</v>
      </c>
      <c r="FS28" s="83">
        <f t="shared" si="44"/>
        <v>-1943950.6562496759</v>
      </c>
      <c r="FT28" s="83">
        <f t="shared" si="44"/>
        <v>-1940919.8345377091</v>
      </c>
      <c r="FU28" s="83">
        <f t="shared" si="44"/>
        <v>-1938138.2737209317</v>
      </c>
      <c r="FV28" s="83">
        <f t="shared" si="44"/>
        <v>-1935229.8967012018</v>
      </c>
      <c r="FW28" s="83">
        <f t="shared" si="44"/>
        <v>-1933999.3997859757</v>
      </c>
      <c r="FX28" s="83">
        <f t="shared" si="44"/>
        <v>-1933939.094297799</v>
      </c>
      <c r="FY28" s="83">
        <f t="shared" si="44"/>
        <v>-1933880.019533871</v>
      </c>
      <c r="FZ28" s="83">
        <f t="shared" si="44"/>
        <v>-1933822.15037737</v>
      </c>
      <c r="GA28" s="83">
        <f t="shared" si="44"/>
        <v>-1933765.4622240628</v>
      </c>
      <c r="GB28" s="83">
        <f t="shared" si="44"/>
        <v>-1933709.9309718437</v>
      </c>
      <c r="GC28" s="83">
        <f t="shared" si="44"/>
        <v>-1932543.171346385</v>
      </c>
      <c r="GD28" s="83">
        <f t="shared" si="44"/>
        <v>-1930154.8969639686</v>
      </c>
      <c r="GE28" s="83">
        <f t="shared" si="44"/>
        <v>-1927739.1184152004</v>
      </c>
      <c r="GF28" s="83">
        <f t="shared" si="44"/>
        <v>-1925372.6414694681</v>
      </c>
      <c r="GG28" s="83">
        <f t="shared" si="44"/>
        <v>-1923200.7883643957</v>
      </c>
      <c r="GH28" s="83">
        <f t="shared" si="44"/>
        <v>-1920929.9166930225</v>
      </c>
      <c r="GI28" s="83">
        <f t="shared" si="44"/>
        <v>-1919969.1400923468</v>
      </c>
      <c r="GJ28" s="83">
        <f t="shared" si="44"/>
        <v>-1919922.0533412828</v>
      </c>
      <c r="GK28" s="83">
        <f t="shared" si="44"/>
        <v>-1919875.9275443221</v>
      </c>
      <c r="GL28" s="83">
        <f t="shared" si="44"/>
        <v>-1919830.7430901565</v>
      </c>
      <c r="GM28" s="83">
        <f t="shared" ref="GM28:IG28" si="45">GL28+GM27</f>
        <v>-1919786.4807677085</v>
      </c>
      <c r="GN28" s="83">
        <f t="shared" si="45"/>
        <v>-1919743.1217579634</v>
      </c>
      <c r="GO28" s="83">
        <f t="shared" si="45"/>
        <v>-1918832.1114718893</v>
      </c>
      <c r="GP28" s="83">
        <f t="shared" si="45"/>
        <v>-1916967.3378879612</v>
      </c>
      <c r="GQ28" s="83">
        <f t="shared" si="45"/>
        <v>-1915081.0889479187</v>
      </c>
      <c r="GR28" s="83">
        <f t="shared" si="45"/>
        <v>-1913233.3348842037</v>
      </c>
      <c r="GS28" s="83">
        <f t="shared" si="45"/>
        <v>-1911537.5438443094</v>
      </c>
      <c r="GT28" s="83">
        <f t="shared" si="45"/>
        <v>-1909764.4387369377</v>
      </c>
      <c r="GU28" s="83">
        <f t="shared" si="45"/>
        <v>-1909014.2607681972</v>
      </c>
      <c r="GV28" s="83">
        <f t="shared" si="45"/>
        <v>-1908977.495256586</v>
      </c>
      <c r="GW28" s="83">
        <f t="shared" si="45"/>
        <v>-1908941.4800615383</v>
      </c>
      <c r="GX28" s="83">
        <f t="shared" si="45"/>
        <v>-1908906.1998704711</v>
      </c>
      <c r="GY28" s="83">
        <f t="shared" si="45"/>
        <v>-1908871.6396833034</v>
      </c>
      <c r="GZ28" s="83">
        <f t="shared" si="45"/>
        <v>-1908837.7848060778</v>
      </c>
      <c r="HA28" s="83">
        <f t="shared" si="45"/>
        <v>-1908126.4645621956</v>
      </c>
      <c r="HB28" s="83">
        <f t="shared" si="45"/>
        <v>-1906670.4423626869</v>
      </c>
      <c r="HC28" s="83">
        <f t="shared" si="45"/>
        <v>-1905197.6521246806</v>
      </c>
      <c r="HD28" s="83">
        <f t="shared" si="45"/>
        <v>-1903754.918830307</v>
      </c>
      <c r="HE28" s="83">
        <f t="shared" si="45"/>
        <v>-1902430.8388341644</v>
      </c>
      <c r="HF28" s="83">
        <f t="shared" si="45"/>
        <v>-1901046.3917245283</v>
      </c>
      <c r="HG28" s="83">
        <f t="shared" si="45"/>
        <v>-1900460.6499564752</v>
      </c>
      <c r="HH28" s="83">
        <f t="shared" si="45"/>
        <v>-1900431.9433072908</v>
      </c>
      <c r="HI28" s="83">
        <f t="shared" si="45"/>
        <v>-1900403.8225080897</v>
      </c>
      <c r="HJ28" s="83">
        <f t="shared" si="45"/>
        <v>-1900376.27560275</v>
      </c>
      <c r="HK28" s="83">
        <f t="shared" si="45"/>
        <v>-1900349.2908791518</v>
      </c>
      <c r="HL28" s="83">
        <f t="shared" si="45"/>
        <v>-1900322.8568641986</v>
      </c>
      <c r="HM28" s="83">
        <f t="shared" si="45"/>
        <v>-1899767.4553532705</v>
      </c>
      <c r="HN28" s="83">
        <f t="shared" si="45"/>
        <v>-1898630.5877658413</v>
      </c>
      <c r="HO28" s="83">
        <f t="shared" si="45"/>
        <v>-1897480.6276311425</v>
      </c>
      <c r="HP28" s="83">
        <f t="shared" si="45"/>
        <v>-1896354.1360706212</v>
      </c>
      <c r="HQ28" s="83">
        <f t="shared" si="45"/>
        <v>-1895320.289449817</v>
      </c>
      <c r="HR28" s="83">
        <f t="shared" si="45"/>
        <v>-1894239.3079606704</v>
      </c>
      <c r="HS28" s="83">
        <f t="shared" si="45"/>
        <v>-1893781.9585940691</v>
      </c>
      <c r="HT28" s="83">
        <f t="shared" si="45"/>
        <v>-1893759.5443348549</v>
      </c>
      <c r="HU28" s="83">
        <f t="shared" si="45"/>
        <v>-1893737.5875095022</v>
      </c>
      <c r="HV28" s="83">
        <f t="shared" si="45"/>
        <v>-1893716.0787826262</v>
      </c>
      <c r="HW28" s="83">
        <f t="shared" si="45"/>
        <v>-1893695.0090093599</v>
      </c>
      <c r="HX28" s="83">
        <f t="shared" si="45"/>
        <v>-1893674.3692314662</v>
      </c>
      <c r="HY28" s="83">
        <f t="shared" si="45"/>
        <v>-1893240.7096512783</v>
      </c>
      <c r="HZ28" s="83">
        <f t="shared" si="45"/>
        <v>-1892353.0391804688</v>
      </c>
      <c r="IA28" s="83">
        <f t="shared" si="45"/>
        <v>-1891455.1459997082</v>
      </c>
      <c r="IB28" s="83">
        <f t="shared" si="45"/>
        <v>-1890575.5771695755</v>
      </c>
      <c r="IC28" s="83">
        <f t="shared" si="45"/>
        <v>-1889768.3458554088</v>
      </c>
      <c r="ID28" s="83">
        <f t="shared" si="45"/>
        <v>-1888924.3114594796</v>
      </c>
      <c r="IE28" s="83">
        <f t="shared" si="45"/>
        <v>-1888567.2113608713</v>
      </c>
      <c r="IF28" s="83">
        <f t="shared" si="45"/>
        <v>-1888549.7102233162</v>
      </c>
      <c r="IG28" s="83">
        <f t="shared" si="45"/>
        <v>-1888532.5662518337</v>
      </c>
    </row>
    <row r="29" spans="1:241" x14ac:dyDescent="0.25">
      <c r="A29" s="95" t="s">
        <v>311</v>
      </c>
      <c r="B29" s="83">
        <f>NPV('Вхідні дані'!B13/12,B25:IG25)</f>
        <v>-1888532.5662518365</v>
      </c>
    </row>
    <row r="30" spans="1:241" x14ac:dyDescent="0.25">
      <c r="A30" s="95" t="s">
        <v>310</v>
      </c>
      <c r="B30" s="82">
        <f>IRR(B25:IG25,0)*12</f>
        <v>7.8630884171903226E-2</v>
      </c>
    </row>
    <row r="31" spans="1:241" x14ac:dyDescent="0.25">
      <c r="A31" s="95" t="s">
        <v>309</v>
      </c>
      <c r="B31" s="86">
        <f>(COUNTIF(B26:IG26,"&lt;0")+ABS(INDEX(B26:IG26,,COUNTIF(B26:IG26,"&lt;0")))/INDEX(B25:IG25,,COUNTIF(B26:IG26,"&lt;0")+1))/12</f>
        <v>18.294717691265991</v>
      </c>
      <c r="C31" s="96">
        <f>B31*12</f>
        <v>219.5366122951919</v>
      </c>
    </row>
    <row r="32" spans="1:241" x14ac:dyDescent="0.25">
      <c r="A32" s="95" t="s">
        <v>308</v>
      </c>
      <c r="B32" s="86">
        <f>(COUNTIF(B28:IG28,"&lt;0")+ABS(INDEX(B28:IG28,,COUNTIF(B28:IG28,"&lt;0")))/INDEX(B27:IG27,,COUNTIF(B28:IG28,"&lt;0")+1))/12</f>
        <v>460.55178051411707</v>
      </c>
      <c r="C32" s="96">
        <f>B32*12</f>
        <v>5526.6213661694046</v>
      </c>
    </row>
    <row r="34" spans="1:241" x14ac:dyDescent="0.25">
      <c r="A34" s="97" t="s">
        <v>295</v>
      </c>
    </row>
    <row r="35" spans="1:241" outlineLevel="1" x14ac:dyDescent="0.25">
      <c r="A35" s="249" t="s">
        <v>614</v>
      </c>
      <c r="B35" s="83">
        <f>-'Вхідні дані'!B22*'Вхідні дані'!B21</f>
        <v>0</v>
      </c>
    </row>
    <row r="36" spans="1:241" outlineLevel="1" x14ac:dyDescent="0.25">
      <c r="A36" s="94" t="s">
        <v>317</v>
      </c>
      <c r="E36" s="83">
        <f>'Вхідні дані'!B32</f>
        <v>-202508.65083461202</v>
      </c>
      <c r="F36" s="83">
        <f t="shared" ref="F36:AK36" si="46">E36</f>
        <v>-202508.65083461202</v>
      </c>
      <c r="G36" s="83">
        <f t="shared" si="46"/>
        <v>-202508.65083461202</v>
      </c>
      <c r="H36" s="83">
        <f t="shared" si="46"/>
        <v>-202508.65083461202</v>
      </c>
      <c r="I36" s="83">
        <f t="shared" si="46"/>
        <v>-202508.65083461202</v>
      </c>
      <c r="J36" s="83">
        <f t="shared" si="46"/>
        <v>-202508.65083461202</v>
      </c>
      <c r="K36" s="83">
        <f t="shared" si="46"/>
        <v>-202508.65083461202</v>
      </c>
      <c r="L36" s="83">
        <f t="shared" si="46"/>
        <v>-202508.65083461202</v>
      </c>
      <c r="M36" s="83">
        <f t="shared" si="46"/>
        <v>-202508.65083461202</v>
      </c>
      <c r="N36" s="83">
        <f t="shared" si="46"/>
        <v>-202508.65083461202</v>
      </c>
      <c r="O36" s="83">
        <f t="shared" si="46"/>
        <v>-202508.65083461202</v>
      </c>
      <c r="P36" s="83">
        <f t="shared" si="46"/>
        <v>-202508.65083461202</v>
      </c>
      <c r="Q36" s="83">
        <f t="shared" si="46"/>
        <v>-202508.65083461202</v>
      </c>
      <c r="R36" s="83">
        <f t="shared" si="46"/>
        <v>-202508.65083461202</v>
      </c>
      <c r="S36" s="83">
        <f t="shared" si="46"/>
        <v>-202508.65083461202</v>
      </c>
      <c r="T36" s="83">
        <f t="shared" si="46"/>
        <v>-202508.65083461202</v>
      </c>
      <c r="U36" s="83">
        <f t="shared" si="46"/>
        <v>-202508.65083461202</v>
      </c>
      <c r="V36" s="83">
        <f t="shared" si="46"/>
        <v>-202508.65083461202</v>
      </c>
      <c r="W36" s="83">
        <f t="shared" si="46"/>
        <v>-202508.65083461202</v>
      </c>
      <c r="X36" s="83">
        <f t="shared" si="46"/>
        <v>-202508.65083461202</v>
      </c>
      <c r="Y36" s="83">
        <f t="shared" si="46"/>
        <v>-202508.65083461202</v>
      </c>
      <c r="Z36" s="83">
        <f t="shared" si="46"/>
        <v>-202508.65083461202</v>
      </c>
      <c r="AA36" s="83">
        <f t="shared" si="46"/>
        <v>-202508.65083461202</v>
      </c>
      <c r="AB36" s="83">
        <f t="shared" si="46"/>
        <v>-202508.65083461202</v>
      </c>
      <c r="AC36" s="83">
        <f t="shared" si="46"/>
        <v>-202508.65083461202</v>
      </c>
      <c r="AD36" s="83">
        <f t="shared" si="46"/>
        <v>-202508.65083461202</v>
      </c>
      <c r="AE36" s="83">
        <f t="shared" si="46"/>
        <v>-202508.65083461202</v>
      </c>
      <c r="AF36" s="83">
        <f t="shared" si="46"/>
        <v>-202508.65083461202</v>
      </c>
      <c r="AG36" s="83">
        <f t="shared" si="46"/>
        <v>-202508.65083461202</v>
      </c>
      <c r="AH36" s="83">
        <f t="shared" si="46"/>
        <v>-202508.65083461202</v>
      </c>
      <c r="AI36" s="83">
        <f t="shared" si="46"/>
        <v>-202508.65083461202</v>
      </c>
      <c r="AJ36" s="83">
        <f t="shared" si="46"/>
        <v>-202508.65083461202</v>
      </c>
      <c r="AK36" s="83">
        <f t="shared" si="46"/>
        <v>-202508.65083461202</v>
      </c>
      <c r="AL36" s="83">
        <f t="shared" ref="AL36:BL36" si="47">AK36</f>
        <v>-202508.65083461202</v>
      </c>
      <c r="AM36" s="83">
        <f t="shared" si="47"/>
        <v>-202508.65083461202</v>
      </c>
      <c r="AN36" s="83">
        <f t="shared" si="47"/>
        <v>-202508.65083461202</v>
      </c>
      <c r="AO36" s="83">
        <f t="shared" si="47"/>
        <v>-202508.65083461202</v>
      </c>
      <c r="AP36" s="83">
        <f t="shared" si="47"/>
        <v>-202508.65083461202</v>
      </c>
      <c r="AQ36" s="83">
        <f t="shared" si="47"/>
        <v>-202508.65083461202</v>
      </c>
      <c r="AR36" s="83">
        <f t="shared" si="47"/>
        <v>-202508.65083461202</v>
      </c>
      <c r="AS36" s="83">
        <f t="shared" si="47"/>
        <v>-202508.65083461202</v>
      </c>
      <c r="AT36" s="83">
        <f t="shared" si="47"/>
        <v>-202508.65083461202</v>
      </c>
      <c r="AU36" s="83">
        <f t="shared" si="47"/>
        <v>-202508.65083461202</v>
      </c>
      <c r="AV36" s="83">
        <f t="shared" si="47"/>
        <v>-202508.65083461202</v>
      </c>
      <c r="AW36" s="83">
        <f t="shared" si="47"/>
        <v>-202508.65083461202</v>
      </c>
      <c r="AX36" s="83">
        <f t="shared" si="47"/>
        <v>-202508.65083461202</v>
      </c>
      <c r="AY36" s="83">
        <f t="shared" si="47"/>
        <v>-202508.65083461202</v>
      </c>
      <c r="AZ36" s="83">
        <f t="shared" si="47"/>
        <v>-202508.65083461202</v>
      </c>
      <c r="BA36" s="83">
        <f t="shared" si="47"/>
        <v>-202508.65083461202</v>
      </c>
      <c r="BB36" s="83">
        <f t="shared" si="47"/>
        <v>-202508.65083461202</v>
      </c>
      <c r="BC36" s="83">
        <f t="shared" si="47"/>
        <v>-202508.65083461202</v>
      </c>
      <c r="BD36" s="83">
        <f t="shared" si="47"/>
        <v>-202508.65083461202</v>
      </c>
      <c r="BE36" s="83">
        <f t="shared" si="47"/>
        <v>-202508.65083461202</v>
      </c>
      <c r="BF36" s="83">
        <f t="shared" si="47"/>
        <v>-202508.65083461202</v>
      </c>
      <c r="BG36" s="83">
        <f t="shared" si="47"/>
        <v>-202508.65083461202</v>
      </c>
      <c r="BH36" s="83">
        <f t="shared" si="47"/>
        <v>-202508.65083461202</v>
      </c>
      <c r="BI36" s="83">
        <f t="shared" si="47"/>
        <v>-202508.65083461202</v>
      </c>
      <c r="BJ36" s="83">
        <f t="shared" si="47"/>
        <v>-202508.65083461202</v>
      </c>
      <c r="BK36" s="83">
        <f t="shared" si="47"/>
        <v>-202508.65083461202</v>
      </c>
      <c r="BL36" s="83">
        <f t="shared" si="47"/>
        <v>-202508.65083461202</v>
      </c>
    </row>
    <row r="37" spans="1:241" ht="30" outlineLevel="1" x14ac:dyDescent="0.25">
      <c r="A37" s="94" t="s">
        <v>316</v>
      </c>
      <c r="B37" s="83">
        <f>B3+B36+B9+B35</f>
        <v>0</v>
      </c>
      <c r="C37" s="83">
        <f t="shared" ref="C37:E37" si="48">C3+C36+C9+C35</f>
        <v>0</v>
      </c>
      <c r="D37" s="83">
        <f t="shared" si="48"/>
        <v>0</v>
      </c>
      <c r="E37" s="83">
        <f t="shared" si="48"/>
        <v>-221220.58216508414</v>
      </c>
      <c r="F37" s="83">
        <f>F3+F36+F9+F35</f>
        <v>-242605.64654276654</v>
      </c>
      <c r="G37" s="83">
        <f t="shared" ref="G37" si="49">G3+G36+G9+G35</f>
        <v>-243942.21306637168</v>
      </c>
      <c r="H37" s="83">
        <f t="shared" ref="H37:I37" si="50">H3+H36+H9+H35</f>
        <v>-243942.21306637168</v>
      </c>
      <c r="I37" s="83">
        <f t="shared" si="50"/>
        <v>-241269.0800191614</v>
      </c>
      <c r="J37" s="83">
        <f t="shared" ref="J37" si="51">J3+J36+J9+J35</f>
        <v>-243942.21306637168</v>
      </c>
      <c r="K37" s="83">
        <f t="shared" ref="K37" si="52">K3+K36+K9+K35</f>
        <v>-219884.015641479</v>
      </c>
      <c r="L37" s="83">
        <f t="shared" ref="L37:M37" si="53">L3+L36+L9+L35</f>
        <v>-202508.65083461202</v>
      </c>
      <c r="M37" s="83">
        <f t="shared" si="53"/>
        <v>-202508.65083461202</v>
      </c>
      <c r="N37" s="83">
        <f t="shared" ref="N37" si="54">N3+N36+N9+N35</f>
        <v>-202508.65083461202</v>
      </c>
      <c r="O37" s="83">
        <f t="shared" ref="O37:P37" si="55">O3+O36+O9+O35</f>
        <v>-202508.65083461202</v>
      </c>
      <c r="P37" s="83">
        <f t="shared" si="55"/>
        <v>-202508.65083461202</v>
      </c>
      <c r="Q37" s="83">
        <f t="shared" ref="Q37" si="56">Q3+Q36+Q9+Q35</f>
        <v>-230576.54783032017</v>
      </c>
      <c r="R37" s="83">
        <f t="shared" ref="R37" si="57">R3+R36+R9+R35</f>
        <v>-262654.1443968438</v>
      </c>
      <c r="S37" s="83">
        <f t="shared" ref="S37:T37" si="58">S3+S36+S9+S35</f>
        <v>-264658.99418225151</v>
      </c>
      <c r="T37" s="83">
        <f t="shared" si="58"/>
        <v>-264658.99418225151</v>
      </c>
      <c r="U37" s="83">
        <f t="shared" ref="U37" si="59">U3+U36+U9+U35</f>
        <v>-258644.44482602834</v>
      </c>
      <c r="V37" s="83">
        <f t="shared" ref="V37:W37" si="60">V3+V36+V9+V35</f>
        <v>-264658.99418225151</v>
      </c>
      <c r="W37" s="83">
        <f t="shared" si="60"/>
        <v>-230576.54783032017</v>
      </c>
      <c r="X37" s="83">
        <f t="shared" ref="X37" si="61">X3+X36+X9+X35</f>
        <v>-202508.65083461202</v>
      </c>
      <c r="Y37" s="83">
        <f t="shared" ref="Y37" si="62">Y3+Y36+Y9+Y35</f>
        <v>-202508.65083461202</v>
      </c>
      <c r="Z37" s="83">
        <f t="shared" ref="Z37:AA37" si="63">Z3+Z36+Z9+Z35</f>
        <v>-202508.65083461202</v>
      </c>
      <c r="AA37" s="83">
        <f t="shared" si="63"/>
        <v>-202508.65083461202</v>
      </c>
      <c r="AB37" s="83">
        <f t="shared" ref="AB37" si="64">AB3+AB36+AB9+AB35</f>
        <v>-202508.65083461202</v>
      </c>
      <c r="AC37" s="83">
        <f t="shared" ref="AC37:AD37" si="65">AC3+AC36+AC9+AC35</f>
        <v>-244610.49632817425</v>
      </c>
      <c r="AD37" s="83">
        <f t="shared" si="65"/>
        <v>-292726.89117795968</v>
      </c>
      <c r="AE37" s="83">
        <f t="shared" ref="AE37" si="66">AE3+AE36+AE9+AE35</f>
        <v>-295734.16585607128</v>
      </c>
      <c r="AF37" s="83">
        <f t="shared" ref="AF37" si="67">AF3+AF36+AF9+AF35</f>
        <v>-295734.16585607128</v>
      </c>
      <c r="AG37" s="83">
        <f t="shared" ref="AG37:AH37" si="68">AG3+AG36+AG9+AG35</f>
        <v>-286712.34182173648</v>
      </c>
      <c r="AH37" s="83">
        <f t="shared" si="68"/>
        <v>-295734.16585607128</v>
      </c>
      <c r="AI37" s="83">
        <f t="shared" ref="AI37" si="69">AI3+AI36+AI9+AI35</f>
        <v>-244610.49632817425</v>
      </c>
      <c r="AJ37" s="83">
        <f t="shared" ref="AJ37:AK37" si="70">AJ3+AJ36+AJ9+AJ35</f>
        <v>-202508.65083461202</v>
      </c>
      <c r="AK37" s="83">
        <f t="shared" si="70"/>
        <v>-202508.65083461202</v>
      </c>
      <c r="AL37" s="83">
        <f t="shared" ref="AL37" si="71">AL3+AL36+AL9+AL35</f>
        <v>-202508.65083461202</v>
      </c>
      <c r="AM37" s="83">
        <f t="shared" ref="AM37" si="72">AM3+AM36+AM9+AM35</f>
        <v>-202508.65083461202</v>
      </c>
      <c r="AN37" s="83">
        <f t="shared" ref="AN37:AO37" si="73">AN3+AN36+AN9+AN35</f>
        <v>-202508.65083461202</v>
      </c>
      <c r="AO37" s="83">
        <f t="shared" si="73"/>
        <v>-244610.49632817425</v>
      </c>
      <c r="AP37" s="83">
        <f t="shared" ref="AP37" si="74">AP3+AP36+AP9+AP35</f>
        <v>-292726.89117795968</v>
      </c>
      <c r="AQ37" s="83">
        <f t="shared" ref="AQ37:AR37" si="75">AQ3+AQ36+AQ9+AQ35</f>
        <v>-295734.16585607128</v>
      </c>
      <c r="AR37" s="83">
        <f t="shared" si="75"/>
        <v>-295734.16585607128</v>
      </c>
      <c r="AS37" s="83">
        <f t="shared" ref="AS37" si="76">AS3+AS36+AS9+AS35</f>
        <v>-286712.34182173648</v>
      </c>
      <c r="AT37" s="83">
        <f t="shared" ref="AT37" si="77">AT3+AT36+AT9+AT35</f>
        <v>-295734.16585607128</v>
      </c>
      <c r="AU37" s="83">
        <f t="shared" ref="AU37:AV37" si="78">AU3+AU36+AU9+AU35</f>
        <v>-244610.49632817425</v>
      </c>
      <c r="AV37" s="83">
        <f t="shared" si="78"/>
        <v>-202508.65083461202</v>
      </c>
      <c r="AW37" s="83">
        <f t="shared" ref="AW37" si="79">AW3+AW36+AW9+AW35</f>
        <v>-202508.65083461202</v>
      </c>
      <c r="AX37" s="83">
        <f t="shared" ref="AX37:AY37" si="80">AX3+AX36+AX9+AX35</f>
        <v>-202508.65083461202</v>
      </c>
      <c r="AY37" s="83">
        <f t="shared" si="80"/>
        <v>-202508.65083461202</v>
      </c>
      <c r="AZ37" s="83">
        <f t="shared" ref="AZ37" si="81">AZ3+AZ36+AZ9+AZ35</f>
        <v>-202508.65083461202</v>
      </c>
      <c r="BA37" s="83">
        <f t="shared" ref="BA37" si="82">BA3+BA36+BA9+BA35</f>
        <v>-244610.49632817425</v>
      </c>
      <c r="BB37" s="83">
        <f t="shared" ref="BB37:BC37" si="83">BB3+BB36+BB9+BB35</f>
        <v>-292726.89117795968</v>
      </c>
      <c r="BC37" s="83">
        <f t="shared" si="83"/>
        <v>-295734.16585607128</v>
      </c>
      <c r="BD37" s="83">
        <f t="shared" ref="BD37" si="84">BD3+BD36+BD9+BD35</f>
        <v>-295734.16585607128</v>
      </c>
      <c r="BE37" s="83">
        <f t="shared" ref="BE37:BF37" si="85">BE3+BE36+BE9+BE35</f>
        <v>-289719.61649984808</v>
      </c>
      <c r="BF37" s="83">
        <f t="shared" si="85"/>
        <v>-295734.16585607128</v>
      </c>
      <c r="BG37" s="83">
        <f t="shared" ref="BG37" si="86">BG3+BG36+BG9+BG35</f>
        <v>-241603.22165006265</v>
      </c>
      <c r="BH37" s="83">
        <f t="shared" ref="BH37" si="87">BH3+BH36+BH9+BH35</f>
        <v>-202508.65083461202</v>
      </c>
      <c r="BI37" s="83">
        <f t="shared" ref="BI37:BJ37" si="88">BI3+BI36+BI9+BI35</f>
        <v>-202508.65083461202</v>
      </c>
      <c r="BJ37" s="83">
        <f t="shared" si="88"/>
        <v>-202508.65083461202</v>
      </c>
      <c r="BK37" s="83">
        <f t="shared" ref="BK37" si="89">BK3+BK36+BK9+BK35</f>
        <v>-202508.65083461202</v>
      </c>
      <c r="BL37" s="83">
        <f t="shared" ref="BL37:BM37" si="90">BL3+BL36+BL9+BL35</f>
        <v>-202508.65083461202</v>
      </c>
      <c r="BM37" s="83">
        <f t="shared" si="90"/>
        <v>-42101.845493562229</v>
      </c>
      <c r="BN37" s="83">
        <f t="shared" ref="BN37" si="91">BN3+BN36+BN9+BN35</f>
        <v>-90218.240343347643</v>
      </c>
      <c r="BO37" s="83">
        <f t="shared" ref="BO37" si="92">BO3+BO36+BO9+BO35</f>
        <v>-93225.515021459229</v>
      </c>
      <c r="BP37" s="83">
        <f t="shared" ref="BP37:BQ37" si="93">BP3+BP36+BP9+BP35</f>
        <v>-93225.515021459229</v>
      </c>
      <c r="BQ37" s="83">
        <f t="shared" si="93"/>
        <v>-87210.965665236057</v>
      </c>
      <c r="BR37" s="83">
        <f t="shared" ref="BR37" si="94">BR3+BR36+BR9+BR35</f>
        <v>-93225.515021459229</v>
      </c>
      <c r="BS37" s="83">
        <f t="shared" ref="BS37:BT37" si="95">BS3+BS36+BS9+BS35</f>
        <v>-39094.570815450643</v>
      </c>
      <c r="BT37" s="83">
        <f t="shared" si="95"/>
        <v>0</v>
      </c>
      <c r="BU37" s="83">
        <f t="shared" ref="BU37" si="96">BU3+BU36+BU9+BU35</f>
        <v>0</v>
      </c>
      <c r="BV37" s="83">
        <f t="shared" ref="BV37" si="97">BV3+BV36+BV9+BV35</f>
        <v>0</v>
      </c>
      <c r="BW37" s="83">
        <f t="shared" ref="BW37:BX37" si="98">BW3+BW36+BW9+BW35</f>
        <v>0</v>
      </c>
      <c r="BX37" s="83">
        <f t="shared" si="98"/>
        <v>0</v>
      </c>
      <c r="BY37" s="83">
        <f t="shared" ref="BY37" si="99">BY3+BY36+BY9+BY35</f>
        <v>-42101.845493562229</v>
      </c>
      <c r="BZ37" s="83">
        <f t="shared" ref="BZ37:CA37" si="100">BZ3+BZ36+BZ9+BZ35</f>
        <v>-90218.240343347643</v>
      </c>
      <c r="CA37" s="83">
        <f t="shared" si="100"/>
        <v>-93225.515021459229</v>
      </c>
      <c r="CB37" s="83">
        <f t="shared" ref="CB37" si="101">CB3+CB36+CB9+CB35</f>
        <v>-93225.515021459229</v>
      </c>
      <c r="CC37" s="83">
        <f t="shared" ref="CC37" si="102">CC3+CC36+CC9+CC35</f>
        <v>-87210.965665236057</v>
      </c>
      <c r="CD37" s="83">
        <f t="shared" ref="CD37:CE37" si="103">CD3+CD36+CD9+CD35</f>
        <v>-93225.515021459229</v>
      </c>
      <c r="CE37" s="83">
        <f t="shared" si="103"/>
        <v>-39094.570815450643</v>
      </c>
      <c r="CF37" s="83">
        <f t="shared" ref="CF37" si="104">CF3+CF36+CF9+CF35</f>
        <v>0</v>
      </c>
      <c r="CG37" s="83">
        <f t="shared" ref="CG37:CH37" si="105">CG3+CG36+CG9+CG35</f>
        <v>0</v>
      </c>
      <c r="CH37" s="83">
        <f t="shared" si="105"/>
        <v>0</v>
      </c>
      <c r="CI37" s="83">
        <f t="shared" ref="CI37" si="106">CI3+CI36+CI9+CI35</f>
        <v>0</v>
      </c>
      <c r="CJ37" s="83">
        <f t="shared" ref="CJ37" si="107">CJ3+CJ36+CJ9+CJ35</f>
        <v>0</v>
      </c>
      <c r="CK37" s="83">
        <f t="shared" ref="CK37:CL37" si="108">CK3+CK36+CK9+CK35</f>
        <v>-42101.845493562229</v>
      </c>
      <c r="CL37" s="83">
        <f t="shared" si="108"/>
        <v>-90218.240343347643</v>
      </c>
      <c r="CM37" s="83">
        <f t="shared" ref="CM37" si="109">CM3+CM36+CM9+CM35</f>
        <v>-93225.515021459229</v>
      </c>
      <c r="CN37" s="83">
        <f t="shared" ref="CN37:CO37" si="110">CN3+CN36+CN9+CN35</f>
        <v>-93225.515021459229</v>
      </c>
      <c r="CO37" s="83">
        <f t="shared" si="110"/>
        <v>-87210.965665236057</v>
      </c>
      <c r="CP37" s="83">
        <f t="shared" ref="CP37" si="111">CP3+CP36+CP9+CP35</f>
        <v>-93225.515021459229</v>
      </c>
      <c r="CQ37" s="83">
        <f t="shared" ref="CQ37" si="112">CQ3+CQ36+CQ9+CQ35</f>
        <v>-39094.570815450643</v>
      </c>
      <c r="CR37" s="83">
        <f t="shared" ref="CR37:CS37" si="113">CR3+CR36+CR9+CR35</f>
        <v>0</v>
      </c>
      <c r="CS37" s="83">
        <f t="shared" si="113"/>
        <v>0</v>
      </c>
      <c r="CT37" s="83">
        <f t="shared" ref="CT37" si="114">CT3+CT36+CT9+CT35</f>
        <v>0</v>
      </c>
      <c r="CU37" s="83">
        <f t="shared" ref="CU37:CV37" si="115">CU3+CU36+CU9+CU35</f>
        <v>0</v>
      </c>
      <c r="CV37" s="83">
        <f t="shared" si="115"/>
        <v>0</v>
      </c>
      <c r="CW37" s="83">
        <f t="shared" ref="CW37" si="116">CW3+CW36+CW9+CW35</f>
        <v>-42101.845493562229</v>
      </c>
      <c r="CX37" s="83">
        <f t="shared" ref="CX37" si="117">CX3+CX36+CX9+CX35</f>
        <v>-90218.240343347643</v>
      </c>
      <c r="CY37" s="83">
        <f t="shared" ref="CY37:CZ37" si="118">CY3+CY36+CY9+CY35</f>
        <v>-93225.515021459229</v>
      </c>
      <c r="CZ37" s="83">
        <f t="shared" si="118"/>
        <v>-93225.515021459229</v>
      </c>
      <c r="DA37" s="83">
        <f t="shared" ref="DA37" si="119">DA3+DA36+DA9+DA35</f>
        <v>-87210.965665236057</v>
      </c>
      <c r="DB37" s="83">
        <f t="shared" ref="DB37:DC37" si="120">DB3+DB36+DB9+DB35</f>
        <v>-93225.515021459229</v>
      </c>
      <c r="DC37" s="83">
        <f t="shared" si="120"/>
        <v>-39094.570815450643</v>
      </c>
      <c r="DD37" s="83">
        <f t="shared" ref="DD37" si="121">DD3+DD36+DD9+DD35</f>
        <v>0</v>
      </c>
      <c r="DE37" s="83">
        <f t="shared" ref="DE37" si="122">DE3+DE36+DE9+DE35</f>
        <v>0</v>
      </c>
      <c r="DF37" s="83">
        <f t="shared" ref="DF37:DG37" si="123">DF3+DF36+DF9+DF35</f>
        <v>0</v>
      </c>
      <c r="DG37" s="83">
        <f t="shared" si="123"/>
        <v>0</v>
      </c>
      <c r="DH37" s="83">
        <f t="shared" ref="DH37" si="124">DH3+DH36+DH9+DH35</f>
        <v>0</v>
      </c>
      <c r="DI37" s="83">
        <f t="shared" ref="DI37:DJ37" si="125">DI3+DI36+DI9+DI35</f>
        <v>-42101.845493562229</v>
      </c>
      <c r="DJ37" s="83">
        <f t="shared" si="125"/>
        <v>-90218.240343347643</v>
      </c>
      <c r="DK37" s="83">
        <f t="shared" ref="DK37" si="126">DK3+DK36+DK9+DK35</f>
        <v>-93225.515021459229</v>
      </c>
      <c r="DL37" s="83">
        <f t="shared" ref="DL37" si="127">DL3+DL36+DL9+DL35</f>
        <v>-93225.515021459229</v>
      </c>
      <c r="DM37" s="83">
        <f t="shared" ref="DM37:DN37" si="128">DM3+DM36+DM9+DM35</f>
        <v>-87210.965665236057</v>
      </c>
      <c r="DN37" s="83">
        <f t="shared" si="128"/>
        <v>-93225.515021459229</v>
      </c>
      <c r="DO37" s="83">
        <f t="shared" ref="DO37" si="129">DO3+DO36+DO9+DO35</f>
        <v>-39094.570815450643</v>
      </c>
      <c r="DP37" s="83">
        <f t="shared" ref="DP37:DQ37" si="130">DP3+DP36+DP9+DP35</f>
        <v>0</v>
      </c>
      <c r="DQ37" s="83">
        <f t="shared" si="130"/>
        <v>0</v>
      </c>
      <c r="DR37" s="83">
        <f t="shared" ref="DR37" si="131">DR3+DR36+DR9+DR35</f>
        <v>0</v>
      </c>
      <c r="DS37" s="83">
        <f t="shared" ref="DS37" si="132">DS3+DS36+DS9+DS35</f>
        <v>0</v>
      </c>
      <c r="DT37" s="83">
        <f t="shared" ref="DT37:DU37" si="133">DT3+DT36+DT9+DT35</f>
        <v>0</v>
      </c>
      <c r="DU37" s="83">
        <f t="shared" si="133"/>
        <v>-42101.845493562229</v>
      </c>
      <c r="DV37" s="83">
        <f t="shared" ref="DV37" si="134">DV3+DV36+DV9+DV35</f>
        <v>-90218.240343347643</v>
      </c>
      <c r="DW37" s="83">
        <f t="shared" ref="DW37:DX37" si="135">DW3+DW36+DW9+DW35</f>
        <v>-93225.515021459229</v>
      </c>
      <c r="DX37" s="83">
        <f t="shared" si="135"/>
        <v>-93225.515021459229</v>
      </c>
      <c r="DY37" s="83">
        <f t="shared" ref="DY37" si="136">DY3+DY36+DY9+DY35</f>
        <v>-87210.965665236057</v>
      </c>
      <c r="DZ37" s="83">
        <f t="shared" ref="DZ37" si="137">DZ3+DZ36+DZ9+DZ35</f>
        <v>-93225.515021459229</v>
      </c>
      <c r="EA37" s="83">
        <f t="shared" ref="EA37:EB37" si="138">EA3+EA36+EA9+EA35</f>
        <v>-39094.570815450643</v>
      </c>
      <c r="EB37" s="83">
        <f t="shared" si="138"/>
        <v>0</v>
      </c>
      <c r="EC37" s="83">
        <f t="shared" ref="EC37" si="139">EC3+EC36+EC9+EC35</f>
        <v>0</v>
      </c>
      <c r="ED37" s="83">
        <f t="shared" ref="ED37:EE37" si="140">ED3+ED36+ED9+ED35</f>
        <v>0</v>
      </c>
      <c r="EE37" s="83">
        <f t="shared" si="140"/>
        <v>0</v>
      </c>
      <c r="EF37" s="83">
        <f t="shared" ref="EF37" si="141">EF3+EF36+EF9+EF35</f>
        <v>0</v>
      </c>
      <c r="EG37" s="83">
        <f t="shared" ref="EG37" si="142">EG3+EG36+EG9+EG35</f>
        <v>-42101.845493562229</v>
      </c>
      <c r="EH37" s="83">
        <f t="shared" ref="EH37:EI37" si="143">EH3+EH36+EH9+EH35</f>
        <v>-90218.240343347643</v>
      </c>
      <c r="EI37" s="83">
        <f t="shared" si="143"/>
        <v>-93225.515021459229</v>
      </c>
      <c r="EJ37" s="83">
        <f t="shared" ref="EJ37" si="144">EJ3+EJ36+EJ9+EJ35</f>
        <v>-93225.515021459229</v>
      </c>
      <c r="EK37" s="83">
        <f t="shared" ref="EK37:EL37" si="145">EK3+EK36+EK9+EK35</f>
        <v>-87210.965665236057</v>
      </c>
      <c r="EL37" s="83">
        <f t="shared" si="145"/>
        <v>-93225.515021459229</v>
      </c>
      <c r="EM37" s="83">
        <f t="shared" ref="EM37" si="146">EM3+EM36+EM9+EM35</f>
        <v>-39094.570815450643</v>
      </c>
      <c r="EN37" s="83">
        <f t="shared" ref="EN37" si="147">EN3+EN36+EN9+EN35</f>
        <v>0</v>
      </c>
      <c r="EO37" s="83">
        <f t="shared" ref="EO37:EP37" si="148">EO3+EO36+EO9+EO35</f>
        <v>0</v>
      </c>
      <c r="EP37" s="83">
        <f t="shared" si="148"/>
        <v>0</v>
      </c>
      <c r="EQ37" s="83">
        <f t="shared" ref="EQ37" si="149">EQ3+EQ36+EQ9+EQ35</f>
        <v>0</v>
      </c>
      <c r="ER37" s="83">
        <f t="shared" ref="ER37:ES37" si="150">ER3+ER36+ER9+ER35</f>
        <v>0</v>
      </c>
      <c r="ES37" s="83">
        <f t="shared" si="150"/>
        <v>-42101.845493562229</v>
      </c>
      <c r="ET37" s="83">
        <f t="shared" ref="ET37" si="151">ET3+ET36+ET9+ET35</f>
        <v>-90218.240343347643</v>
      </c>
      <c r="EU37" s="83">
        <f t="shared" ref="EU37" si="152">EU3+EU36+EU9+EU35</f>
        <v>-93225.515021459229</v>
      </c>
      <c r="EV37" s="83">
        <f t="shared" ref="EV37:EW37" si="153">EV3+EV36+EV9+EV35</f>
        <v>-93225.515021459229</v>
      </c>
      <c r="EW37" s="83">
        <f t="shared" si="153"/>
        <v>-87210.965665236057</v>
      </c>
      <c r="EX37" s="83">
        <f t="shared" ref="EX37" si="154">EX3+EX36+EX9+EX35</f>
        <v>-93225.515021459229</v>
      </c>
      <c r="EY37" s="83">
        <f t="shared" ref="EY37:EZ37" si="155">EY3+EY36+EY9+EY35</f>
        <v>-39094.570815450643</v>
      </c>
      <c r="EZ37" s="83">
        <f t="shared" si="155"/>
        <v>0</v>
      </c>
      <c r="FA37" s="83">
        <f t="shared" ref="FA37" si="156">FA3+FA36+FA9+FA35</f>
        <v>0</v>
      </c>
      <c r="FB37" s="83">
        <f t="shared" ref="FB37" si="157">FB3+FB36+FB9+FB35</f>
        <v>0</v>
      </c>
      <c r="FC37" s="83">
        <f t="shared" ref="FC37:FD37" si="158">FC3+FC36+FC9+FC35</f>
        <v>0</v>
      </c>
      <c r="FD37" s="83">
        <f t="shared" si="158"/>
        <v>0</v>
      </c>
      <c r="FE37" s="83">
        <f t="shared" ref="FE37" si="159">FE3+FE36+FE9+FE35</f>
        <v>-42101.845493562229</v>
      </c>
      <c r="FF37" s="83">
        <f t="shared" ref="FF37:FG37" si="160">FF3+FF36+FF9+FF35</f>
        <v>-90218.240343347643</v>
      </c>
      <c r="FG37" s="83">
        <f t="shared" si="160"/>
        <v>-93225.515021459229</v>
      </c>
      <c r="FH37" s="83">
        <f t="shared" ref="FH37" si="161">FH3+FH36+FH9+FH35</f>
        <v>-93225.515021459229</v>
      </c>
      <c r="FI37" s="83">
        <f t="shared" ref="FI37" si="162">FI3+FI36+FI9+FI35</f>
        <v>-87210.965665236057</v>
      </c>
      <c r="FJ37" s="83">
        <f t="shared" ref="FJ37:FK37" si="163">FJ3+FJ36+FJ9+FJ35</f>
        <v>-93225.515021459229</v>
      </c>
      <c r="FK37" s="83">
        <f t="shared" si="163"/>
        <v>-39094.570815450643</v>
      </c>
      <c r="FL37" s="83">
        <f t="shared" ref="FL37" si="164">FL3+FL36+FL9+FL35</f>
        <v>0</v>
      </c>
      <c r="FM37" s="83">
        <f t="shared" ref="FM37:FN37" si="165">FM3+FM36+FM9+FM35</f>
        <v>0</v>
      </c>
      <c r="FN37" s="83">
        <f t="shared" si="165"/>
        <v>0</v>
      </c>
      <c r="FO37" s="83">
        <f t="shared" ref="FO37" si="166">FO3+FO36+FO9+FO35</f>
        <v>0</v>
      </c>
      <c r="FP37" s="83">
        <f t="shared" ref="FP37" si="167">FP3+FP36+FP9+FP35</f>
        <v>0</v>
      </c>
      <c r="FQ37" s="83">
        <f t="shared" ref="FQ37:FR37" si="168">FQ3+FQ36+FQ9+FQ35</f>
        <v>-42101.845493562229</v>
      </c>
      <c r="FR37" s="83">
        <f t="shared" si="168"/>
        <v>-90218.240343347643</v>
      </c>
      <c r="FS37" s="83">
        <f t="shared" ref="FS37" si="169">FS3+FS36+FS9+FS35</f>
        <v>-93225.515021459229</v>
      </c>
      <c r="FT37" s="83">
        <f t="shared" ref="FT37:FU37" si="170">FT3+FT36+FT9+FT35</f>
        <v>-93225.515021459229</v>
      </c>
      <c r="FU37" s="83">
        <f t="shared" si="170"/>
        <v>-87210.965665236057</v>
      </c>
      <c r="FV37" s="83">
        <f t="shared" ref="FV37" si="171">FV3+FV36+FV9+FV35</f>
        <v>-93225.515021459229</v>
      </c>
      <c r="FW37" s="83">
        <f t="shared" ref="FW37" si="172">FW3+FW36+FW9+FW35</f>
        <v>-39094.570815450643</v>
      </c>
      <c r="FX37" s="83">
        <f t="shared" ref="FX37:FY37" si="173">FX3+FX36+FX9+FX35</f>
        <v>0</v>
      </c>
      <c r="FY37" s="83">
        <f t="shared" si="173"/>
        <v>0</v>
      </c>
      <c r="FZ37" s="83">
        <f t="shared" ref="FZ37" si="174">FZ3+FZ36+FZ9+FZ35</f>
        <v>0</v>
      </c>
      <c r="GA37" s="83">
        <f t="shared" ref="GA37:GB37" si="175">GA3+GA36+GA9+GA35</f>
        <v>0</v>
      </c>
      <c r="GB37" s="83">
        <f t="shared" si="175"/>
        <v>0</v>
      </c>
      <c r="GC37" s="83">
        <f t="shared" ref="GC37" si="176">GC3+GC36+GC9+GC35</f>
        <v>-42101.845493562229</v>
      </c>
      <c r="GD37" s="83">
        <f t="shared" ref="GD37" si="177">GD3+GD36+GD9+GD35</f>
        <v>-90218.240343347643</v>
      </c>
      <c r="GE37" s="83">
        <f t="shared" ref="GE37:GF37" si="178">GE3+GE36+GE9+GE35</f>
        <v>-93225.515021459229</v>
      </c>
      <c r="GF37" s="83">
        <f t="shared" si="178"/>
        <v>-93225.515021459229</v>
      </c>
      <c r="GG37" s="83">
        <f t="shared" ref="GG37" si="179">GG3+GG36+GG9+GG35</f>
        <v>-87210.965665236057</v>
      </c>
      <c r="GH37" s="83">
        <f t="shared" ref="GH37:GI37" si="180">GH3+GH36+GH9+GH35</f>
        <v>-93225.515021459229</v>
      </c>
      <c r="GI37" s="83">
        <f t="shared" si="180"/>
        <v>-39094.570815450643</v>
      </c>
      <c r="GJ37" s="83">
        <f t="shared" ref="GJ37" si="181">GJ3+GJ36+GJ9+GJ35</f>
        <v>0</v>
      </c>
      <c r="GK37" s="83">
        <f t="shared" ref="GK37" si="182">GK3+GK36+GK9+GK35</f>
        <v>0</v>
      </c>
      <c r="GL37" s="83">
        <f t="shared" ref="GL37:GM37" si="183">GL3+GL36+GL9+GL35</f>
        <v>0</v>
      </c>
      <c r="GM37" s="83">
        <f t="shared" si="183"/>
        <v>0</v>
      </c>
      <c r="GN37" s="83">
        <f t="shared" ref="GN37" si="184">GN3+GN36+GN9+GN35</f>
        <v>0</v>
      </c>
      <c r="GO37" s="83">
        <f t="shared" ref="GO37:GP37" si="185">GO3+GO36+GO9+GO35</f>
        <v>-42101.845493562229</v>
      </c>
      <c r="GP37" s="83">
        <f t="shared" si="185"/>
        <v>-90218.240343347643</v>
      </c>
      <c r="GQ37" s="83">
        <f t="shared" ref="GQ37" si="186">GQ3+GQ36+GQ9+GQ35</f>
        <v>-93225.515021459229</v>
      </c>
      <c r="GR37" s="83">
        <f t="shared" ref="GR37" si="187">GR3+GR36+GR9+GR35</f>
        <v>-93225.515021459229</v>
      </c>
      <c r="GS37" s="83">
        <f t="shared" ref="GS37:GT37" si="188">GS3+GS36+GS9+GS35</f>
        <v>-87210.965665236057</v>
      </c>
      <c r="GT37" s="83">
        <f t="shared" si="188"/>
        <v>-93225.515021459229</v>
      </c>
      <c r="GU37" s="83">
        <f t="shared" ref="GU37" si="189">GU3+GU36+GU9+GU35</f>
        <v>-39094.570815450643</v>
      </c>
      <c r="GV37" s="83">
        <f t="shared" ref="GV37:GW37" si="190">GV3+GV36+GV9+GV35</f>
        <v>0</v>
      </c>
      <c r="GW37" s="83">
        <f t="shared" si="190"/>
        <v>0</v>
      </c>
      <c r="GX37" s="83">
        <f t="shared" ref="GX37" si="191">GX3+GX36+GX9+GX35</f>
        <v>0</v>
      </c>
      <c r="GY37" s="83">
        <f t="shared" ref="GY37" si="192">GY3+GY36+GY9+GY35</f>
        <v>0</v>
      </c>
      <c r="GZ37" s="83">
        <f t="shared" ref="GZ37:HA37" si="193">GZ3+GZ36+GZ9+GZ35</f>
        <v>0</v>
      </c>
      <c r="HA37" s="83">
        <f t="shared" si="193"/>
        <v>-42101.845493562229</v>
      </c>
      <c r="HB37" s="83">
        <f t="shared" ref="HB37" si="194">HB3+HB36+HB9+HB35</f>
        <v>-90218.240343347643</v>
      </c>
      <c r="HC37" s="83">
        <f t="shared" ref="HC37:HD37" si="195">HC3+HC36+HC9+HC35</f>
        <v>-93225.515021459229</v>
      </c>
      <c r="HD37" s="83">
        <f t="shared" si="195"/>
        <v>-93225.515021459229</v>
      </c>
      <c r="HE37" s="83">
        <f t="shared" ref="HE37" si="196">HE3+HE36+HE9+HE35</f>
        <v>-87210.965665236057</v>
      </c>
      <c r="HF37" s="83">
        <f t="shared" ref="HF37" si="197">HF3+HF36+HF9+HF35</f>
        <v>-93225.515021459229</v>
      </c>
      <c r="HG37" s="83">
        <f t="shared" ref="HG37:HH37" si="198">HG3+HG36+HG9+HG35</f>
        <v>-39094.570815450643</v>
      </c>
      <c r="HH37" s="83">
        <f t="shared" si="198"/>
        <v>0</v>
      </c>
      <c r="HI37" s="83">
        <f t="shared" ref="HI37" si="199">HI3+HI36+HI9+HI35</f>
        <v>0</v>
      </c>
      <c r="HJ37" s="83">
        <f t="shared" ref="HJ37:HK37" si="200">HJ3+HJ36+HJ9+HJ35</f>
        <v>0</v>
      </c>
      <c r="HK37" s="83">
        <f t="shared" si="200"/>
        <v>0</v>
      </c>
      <c r="HL37" s="83">
        <f t="shared" ref="HL37" si="201">HL3+HL36+HL9+HL35</f>
        <v>0</v>
      </c>
      <c r="HM37" s="83">
        <f t="shared" ref="HM37" si="202">HM3+HM36+HM9+HM35</f>
        <v>-42101.845493562229</v>
      </c>
      <c r="HN37" s="83">
        <f t="shared" ref="HN37:HO37" si="203">HN3+HN36+HN9+HN35</f>
        <v>-90218.240343347643</v>
      </c>
      <c r="HO37" s="83">
        <f t="shared" si="203"/>
        <v>-93225.515021459229</v>
      </c>
      <c r="HP37" s="83">
        <f t="shared" ref="HP37" si="204">HP3+HP36+HP9+HP35</f>
        <v>-93225.515021459229</v>
      </c>
      <c r="HQ37" s="83">
        <f t="shared" ref="HQ37:HR37" si="205">HQ3+HQ36+HQ9+HQ35</f>
        <v>-87210.965665236057</v>
      </c>
      <c r="HR37" s="83">
        <f t="shared" si="205"/>
        <v>-93225.515021459229</v>
      </c>
      <c r="HS37" s="83">
        <f t="shared" ref="HS37" si="206">HS3+HS36+HS9+HS35</f>
        <v>-39094.570815450643</v>
      </c>
      <c r="HT37" s="83">
        <f t="shared" ref="HT37" si="207">HT3+HT36+HT9+HT35</f>
        <v>0</v>
      </c>
      <c r="HU37" s="83">
        <f t="shared" ref="HU37:HV37" si="208">HU3+HU36+HU9+HU35</f>
        <v>0</v>
      </c>
      <c r="HV37" s="83">
        <f t="shared" si="208"/>
        <v>0</v>
      </c>
      <c r="HW37" s="83">
        <f t="shared" ref="HW37" si="209">HW3+HW36+HW9+HW35</f>
        <v>0</v>
      </c>
      <c r="HX37" s="83">
        <f t="shared" ref="HX37:HY37" si="210">HX3+HX36+HX9+HX35</f>
        <v>0</v>
      </c>
      <c r="HY37" s="83">
        <f t="shared" si="210"/>
        <v>-42101.845493562229</v>
      </c>
      <c r="HZ37" s="83">
        <f t="shared" ref="HZ37" si="211">HZ3+HZ36+HZ9+HZ35</f>
        <v>-90218.240343347643</v>
      </c>
      <c r="IA37" s="83">
        <f t="shared" ref="IA37" si="212">IA3+IA36+IA9+IA35</f>
        <v>-93225.515021459229</v>
      </c>
      <c r="IB37" s="83">
        <f t="shared" ref="IB37:IC37" si="213">IB3+IB36+IB9+IB35</f>
        <v>-93225.515021459229</v>
      </c>
      <c r="IC37" s="83">
        <f t="shared" si="213"/>
        <v>-87210.965665236057</v>
      </c>
      <c r="ID37" s="83">
        <f t="shared" ref="ID37" si="214">ID3+ID36+ID9+ID35</f>
        <v>-93225.515021459229</v>
      </c>
      <c r="IE37" s="83">
        <f t="shared" ref="IE37:IF37" si="215">IE3+IE36+IE9+IE35</f>
        <v>-39094.570815450643</v>
      </c>
      <c r="IF37" s="83">
        <f t="shared" si="215"/>
        <v>0</v>
      </c>
      <c r="IG37" s="83">
        <f t="shared" ref="IG37" si="216">IG3+IG36+IG9+IG35</f>
        <v>0</v>
      </c>
    </row>
    <row r="38" spans="1:241" ht="30" outlineLevel="1" x14ac:dyDescent="0.25">
      <c r="A38" s="94" t="s">
        <v>315</v>
      </c>
      <c r="B38" s="83">
        <f>B3+B36+B10+B11+B35</f>
        <v>0</v>
      </c>
      <c r="C38" s="83">
        <f t="shared" ref="C38:BN38" si="217">C3+C36+C10+C11+C35</f>
        <v>1074.2148559999996</v>
      </c>
      <c r="D38" s="83">
        <f t="shared" si="217"/>
        <v>1074.2148559999996</v>
      </c>
      <c r="E38" s="83">
        <f t="shared" si="217"/>
        <v>-179468.25572110128</v>
      </c>
      <c r="F38" s="83">
        <f t="shared" si="217"/>
        <v>-154364.04971251759</v>
      </c>
      <c r="G38" s="83">
        <f t="shared" si="217"/>
        <v>-152795.03683698113</v>
      </c>
      <c r="H38" s="83">
        <f t="shared" si="217"/>
        <v>-152257.92940898114</v>
      </c>
      <c r="I38" s="83">
        <f t="shared" si="217"/>
        <v>-155395.95516005409</v>
      </c>
      <c r="J38" s="83">
        <f t="shared" si="217"/>
        <v>-152257.92940898114</v>
      </c>
      <c r="K38" s="83">
        <f t="shared" si="217"/>
        <v>-180500.16116863777</v>
      </c>
      <c r="L38" s="83">
        <f t="shared" si="217"/>
        <v>-200897.32855061203</v>
      </c>
      <c r="M38" s="83">
        <f t="shared" si="217"/>
        <v>-200897.32855061203</v>
      </c>
      <c r="N38" s="83">
        <f t="shared" si="217"/>
        <v>-200897.32855061203</v>
      </c>
      <c r="O38" s="83">
        <f t="shared" si="217"/>
        <v>-200897.32855061203</v>
      </c>
      <c r="P38" s="83">
        <f t="shared" si="217"/>
        <v>-200897.32855061203</v>
      </c>
      <c r="Q38" s="83">
        <f t="shared" si="217"/>
        <v>-167948.05816434592</v>
      </c>
      <c r="R38" s="83">
        <f t="shared" si="217"/>
        <v>-130291.7491514704</v>
      </c>
      <c r="S38" s="83">
        <f t="shared" si="217"/>
        <v>-127938.22983816569</v>
      </c>
      <c r="T38" s="83">
        <f t="shared" si="217"/>
        <v>-127132.56869616568</v>
      </c>
      <c r="U38" s="83">
        <f t="shared" si="217"/>
        <v>-134193.12663607983</v>
      </c>
      <c r="V38" s="83">
        <f t="shared" si="217"/>
        <v>-127132.56869616568</v>
      </c>
      <c r="W38" s="83">
        <f t="shared" si="217"/>
        <v>-167142.39702234592</v>
      </c>
      <c r="X38" s="83">
        <f t="shared" si="217"/>
        <v>-200091.66740861203</v>
      </c>
      <c r="Y38" s="83">
        <f t="shared" si="217"/>
        <v>-200091.66740861203</v>
      </c>
      <c r="Z38" s="83">
        <f t="shared" si="217"/>
        <v>-200091.66740861203</v>
      </c>
      <c r="AA38" s="83">
        <f t="shared" si="217"/>
        <v>-200091.66740861203</v>
      </c>
      <c r="AB38" s="83">
        <f t="shared" si="217"/>
        <v>-200091.66740861203</v>
      </c>
      <c r="AC38" s="83">
        <f t="shared" si="217"/>
        <v>-150667.76182921289</v>
      </c>
      <c r="AD38" s="83">
        <f t="shared" si="217"/>
        <v>-94183.298309899576</v>
      </c>
      <c r="AE38" s="83">
        <f t="shared" si="217"/>
        <v>-90653.019339942504</v>
      </c>
      <c r="AF38" s="83">
        <f t="shared" si="217"/>
        <v>-90653.019339942504</v>
      </c>
      <c r="AG38" s="83">
        <f t="shared" si="217"/>
        <v>-101243.85624981373</v>
      </c>
      <c r="AH38" s="83">
        <f t="shared" si="217"/>
        <v>-90653.019339942504</v>
      </c>
      <c r="AI38" s="83">
        <f t="shared" si="217"/>
        <v>-150667.76182921289</v>
      </c>
      <c r="AJ38" s="83">
        <f t="shared" si="217"/>
        <v>-200091.66740861203</v>
      </c>
      <c r="AK38" s="83">
        <f t="shared" si="217"/>
        <v>-200091.66740861203</v>
      </c>
      <c r="AL38" s="83">
        <f t="shared" si="217"/>
        <v>-200091.66740861203</v>
      </c>
      <c r="AM38" s="83">
        <f t="shared" si="217"/>
        <v>-200091.66740861203</v>
      </c>
      <c r="AN38" s="83">
        <f t="shared" si="217"/>
        <v>-200091.66740861203</v>
      </c>
      <c r="AO38" s="83">
        <f t="shared" si="217"/>
        <v>-150667.76182921289</v>
      </c>
      <c r="AP38" s="83">
        <f t="shared" si="217"/>
        <v>-94183.298309899576</v>
      </c>
      <c r="AQ38" s="83">
        <f t="shared" si="217"/>
        <v>-90653.019339942504</v>
      </c>
      <c r="AR38" s="83">
        <f t="shared" si="217"/>
        <v>-90653.019339942504</v>
      </c>
      <c r="AS38" s="83">
        <f t="shared" si="217"/>
        <v>-101243.85624981373</v>
      </c>
      <c r="AT38" s="83">
        <f t="shared" si="217"/>
        <v>-90653.019339942504</v>
      </c>
      <c r="AU38" s="83">
        <f t="shared" si="217"/>
        <v>-150667.76182921289</v>
      </c>
      <c r="AV38" s="83">
        <f t="shared" si="217"/>
        <v>-200091.66740861203</v>
      </c>
      <c r="AW38" s="83">
        <f t="shared" si="217"/>
        <v>-200091.66740861203</v>
      </c>
      <c r="AX38" s="83">
        <f t="shared" si="217"/>
        <v>-200091.66740861203</v>
      </c>
      <c r="AY38" s="83">
        <f t="shared" si="217"/>
        <v>-200091.66740861203</v>
      </c>
      <c r="AZ38" s="83">
        <f t="shared" si="217"/>
        <v>-200091.66740861203</v>
      </c>
      <c r="BA38" s="83">
        <f t="shared" si="217"/>
        <v>-150667.76182921289</v>
      </c>
      <c r="BB38" s="83">
        <f t="shared" si="217"/>
        <v>-94183.298309899576</v>
      </c>
      <c r="BC38" s="83">
        <f t="shared" si="217"/>
        <v>-90653.019339942504</v>
      </c>
      <c r="BD38" s="83">
        <f t="shared" si="217"/>
        <v>-90653.019339942504</v>
      </c>
      <c r="BE38" s="83">
        <f t="shared" si="217"/>
        <v>-97713.577279856676</v>
      </c>
      <c r="BF38" s="83">
        <f t="shared" si="217"/>
        <v>-90653.019339942504</v>
      </c>
      <c r="BG38" s="83">
        <f t="shared" si="217"/>
        <v>-154198.04079916998</v>
      </c>
      <c r="BH38" s="83">
        <f t="shared" si="217"/>
        <v>-200091.66740861203</v>
      </c>
      <c r="BI38" s="83">
        <f t="shared" si="217"/>
        <v>-200091.66740861203</v>
      </c>
      <c r="BJ38" s="83">
        <f t="shared" si="217"/>
        <v>-200091.66740861203</v>
      </c>
      <c r="BK38" s="83">
        <f t="shared" si="217"/>
        <v>-200091.66740861203</v>
      </c>
      <c r="BL38" s="83">
        <f t="shared" si="217"/>
        <v>-200091.66740861203</v>
      </c>
      <c r="BM38" s="83">
        <f t="shared" si="217"/>
        <v>51840.889005399142</v>
      </c>
      <c r="BN38" s="83">
        <f t="shared" si="217"/>
        <v>108325.35252471245</v>
      </c>
      <c r="BO38" s="83">
        <f t="shared" ref="BO38:DZ38" si="218">BO3+BO36+BO10+BO11+BO35</f>
        <v>111855.63149466952</v>
      </c>
      <c r="BP38" s="83">
        <f t="shared" si="218"/>
        <v>111855.63149466952</v>
      </c>
      <c r="BQ38" s="83">
        <f t="shared" si="218"/>
        <v>104795.07355475535</v>
      </c>
      <c r="BR38" s="83">
        <f t="shared" si="218"/>
        <v>111855.63149466952</v>
      </c>
      <c r="BS38" s="83">
        <f t="shared" si="218"/>
        <v>48310.610035442056</v>
      </c>
      <c r="BT38" s="83">
        <f t="shared" si="218"/>
        <v>2416.9834259999993</v>
      </c>
      <c r="BU38" s="83">
        <f t="shared" si="218"/>
        <v>2416.9834259999993</v>
      </c>
      <c r="BV38" s="83">
        <f t="shared" si="218"/>
        <v>2416.9834259999993</v>
      </c>
      <c r="BW38" s="83">
        <f t="shared" si="218"/>
        <v>2416.9834259999993</v>
      </c>
      <c r="BX38" s="83">
        <f t="shared" si="218"/>
        <v>2416.9834259999993</v>
      </c>
      <c r="BY38" s="83">
        <f t="shared" si="218"/>
        <v>51840.889005399142</v>
      </c>
      <c r="BZ38" s="83">
        <f t="shared" si="218"/>
        <v>108325.35252471245</v>
      </c>
      <c r="CA38" s="83">
        <f t="shared" si="218"/>
        <v>111855.63149466952</v>
      </c>
      <c r="CB38" s="83">
        <f t="shared" si="218"/>
        <v>111855.63149466952</v>
      </c>
      <c r="CC38" s="83">
        <f t="shared" si="218"/>
        <v>104795.07355475535</v>
      </c>
      <c r="CD38" s="83">
        <f t="shared" si="218"/>
        <v>111855.63149466952</v>
      </c>
      <c r="CE38" s="83">
        <f t="shared" si="218"/>
        <v>48310.610035442056</v>
      </c>
      <c r="CF38" s="83">
        <f t="shared" si="218"/>
        <v>2416.9834259999993</v>
      </c>
      <c r="CG38" s="83">
        <f t="shared" si="218"/>
        <v>2416.9834259999993</v>
      </c>
      <c r="CH38" s="83">
        <f t="shared" si="218"/>
        <v>2416.9834259999993</v>
      </c>
      <c r="CI38" s="83">
        <f t="shared" si="218"/>
        <v>2416.9834259999993</v>
      </c>
      <c r="CJ38" s="83">
        <f t="shared" si="218"/>
        <v>2416.9834259999993</v>
      </c>
      <c r="CK38" s="83">
        <f t="shared" si="218"/>
        <v>51840.889005399142</v>
      </c>
      <c r="CL38" s="83">
        <f t="shared" si="218"/>
        <v>108325.35252471245</v>
      </c>
      <c r="CM38" s="83">
        <f t="shared" si="218"/>
        <v>111855.63149466952</v>
      </c>
      <c r="CN38" s="83">
        <f t="shared" si="218"/>
        <v>111855.63149466952</v>
      </c>
      <c r="CO38" s="83">
        <f t="shared" si="218"/>
        <v>104795.07355475535</v>
      </c>
      <c r="CP38" s="83">
        <f t="shared" si="218"/>
        <v>111855.63149466952</v>
      </c>
      <c r="CQ38" s="83">
        <f t="shared" si="218"/>
        <v>48310.610035442056</v>
      </c>
      <c r="CR38" s="83">
        <f t="shared" si="218"/>
        <v>2416.9834259999993</v>
      </c>
      <c r="CS38" s="83">
        <f t="shared" si="218"/>
        <v>2416.9834259999993</v>
      </c>
      <c r="CT38" s="83">
        <f t="shared" si="218"/>
        <v>2416.9834259999993</v>
      </c>
      <c r="CU38" s="83">
        <f t="shared" si="218"/>
        <v>2416.9834259999993</v>
      </c>
      <c r="CV38" s="83">
        <f t="shared" si="218"/>
        <v>2416.9834259999993</v>
      </c>
      <c r="CW38" s="83">
        <f t="shared" si="218"/>
        <v>51840.889005399142</v>
      </c>
      <c r="CX38" s="83">
        <f t="shared" si="218"/>
        <v>108325.35252471245</v>
      </c>
      <c r="CY38" s="83">
        <f t="shared" si="218"/>
        <v>111855.63149466952</v>
      </c>
      <c r="CZ38" s="83">
        <f t="shared" si="218"/>
        <v>111855.63149466952</v>
      </c>
      <c r="DA38" s="83">
        <f t="shared" si="218"/>
        <v>104795.07355475535</v>
      </c>
      <c r="DB38" s="83">
        <f t="shared" si="218"/>
        <v>111855.63149466952</v>
      </c>
      <c r="DC38" s="83">
        <f t="shared" si="218"/>
        <v>48310.610035442056</v>
      </c>
      <c r="DD38" s="83">
        <f t="shared" si="218"/>
        <v>2416.9834259999993</v>
      </c>
      <c r="DE38" s="83">
        <f t="shared" si="218"/>
        <v>2416.9834259999993</v>
      </c>
      <c r="DF38" s="83">
        <f t="shared" si="218"/>
        <v>2416.9834259999993</v>
      </c>
      <c r="DG38" s="83">
        <f t="shared" si="218"/>
        <v>2416.9834259999993</v>
      </c>
      <c r="DH38" s="83">
        <f t="shared" si="218"/>
        <v>2416.9834259999993</v>
      </c>
      <c r="DI38" s="83">
        <f t="shared" si="218"/>
        <v>51840.889005399142</v>
      </c>
      <c r="DJ38" s="83">
        <f t="shared" si="218"/>
        <v>108325.35252471245</v>
      </c>
      <c r="DK38" s="83">
        <f t="shared" si="218"/>
        <v>111855.63149466952</v>
      </c>
      <c r="DL38" s="83">
        <f t="shared" si="218"/>
        <v>111855.63149466952</v>
      </c>
      <c r="DM38" s="83">
        <f t="shared" si="218"/>
        <v>104795.07355475535</v>
      </c>
      <c r="DN38" s="83">
        <f t="shared" si="218"/>
        <v>111855.63149466952</v>
      </c>
      <c r="DO38" s="83">
        <f t="shared" si="218"/>
        <v>48310.610035442056</v>
      </c>
      <c r="DP38" s="83">
        <f t="shared" si="218"/>
        <v>2416.9834259999993</v>
      </c>
      <c r="DQ38" s="83">
        <f t="shared" si="218"/>
        <v>2416.9834259999993</v>
      </c>
      <c r="DR38" s="83">
        <f t="shared" si="218"/>
        <v>2416.9834259999993</v>
      </c>
      <c r="DS38" s="83">
        <f t="shared" si="218"/>
        <v>2416.9834259999993</v>
      </c>
      <c r="DT38" s="83">
        <f t="shared" si="218"/>
        <v>2416.9834259999993</v>
      </c>
      <c r="DU38" s="83">
        <f t="shared" si="218"/>
        <v>51840.889005399142</v>
      </c>
      <c r="DV38" s="83">
        <f t="shared" si="218"/>
        <v>108325.35252471245</v>
      </c>
      <c r="DW38" s="83">
        <f t="shared" si="218"/>
        <v>111855.63149466952</v>
      </c>
      <c r="DX38" s="83">
        <f t="shared" si="218"/>
        <v>111855.63149466952</v>
      </c>
      <c r="DY38" s="83">
        <f t="shared" si="218"/>
        <v>104795.07355475535</v>
      </c>
      <c r="DZ38" s="83">
        <f t="shared" si="218"/>
        <v>111855.63149466952</v>
      </c>
      <c r="EA38" s="83">
        <f t="shared" ref="EA38:GL38" si="219">EA3+EA36+EA10+EA11+EA35</f>
        <v>48310.610035442056</v>
      </c>
      <c r="EB38" s="83">
        <f t="shared" si="219"/>
        <v>2416.9834259999993</v>
      </c>
      <c r="EC38" s="83">
        <f t="shared" si="219"/>
        <v>2416.9834259999993</v>
      </c>
      <c r="ED38" s="83">
        <f t="shared" si="219"/>
        <v>2416.9834259999993</v>
      </c>
      <c r="EE38" s="83">
        <f t="shared" si="219"/>
        <v>2416.9834259999993</v>
      </c>
      <c r="EF38" s="83">
        <f t="shared" si="219"/>
        <v>2416.9834259999993</v>
      </c>
      <c r="EG38" s="83">
        <f t="shared" si="219"/>
        <v>51840.889005399142</v>
      </c>
      <c r="EH38" s="83">
        <f t="shared" si="219"/>
        <v>108325.35252471245</v>
      </c>
      <c r="EI38" s="83">
        <f t="shared" si="219"/>
        <v>111855.63149466952</v>
      </c>
      <c r="EJ38" s="83">
        <f t="shared" si="219"/>
        <v>111855.63149466952</v>
      </c>
      <c r="EK38" s="83">
        <f t="shared" si="219"/>
        <v>104795.07355475535</v>
      </c>
      <c r="EL38" s="83">
        <f t="shared" si="219"/>
        <v>111855.63149466952</v>
      </c>
      <c r="EM38" s="83">
        <f t="shared" si="219"/>
        <v>48310.610035442056</v>
      </c>
      <c r="EN38" s="83">
        <f t="shared" si="219"/>
        <v>2416.9834259999993</v>
      </c>
      <c r="EO38" s="83">
        <f t="shared" si="219"/>
        <v>2416.9834259999993</v>
      </c>
      <c r="EP38" s="83">
        <f t="shared" si="219"/>
        <v>2416.9834259999993</v>
      </c>
      <c r="EQ38" s="83">
        <f t="shared" si="219"/>
        <v>2416.9834259999993</v>
      </c>
      <c r="ER38" s="83">
        <f t="shared" si="219"/>
        <v>2416.9834259999993</v>
      </c>
      <c r="ES38" s="83">
        <f t="shared" si="219"/>
        <v>51840.889005399142</v>
      </c>
      <c r="ET38" s="83">
        <f t="shared" si="219"/>
        <v>108325.35252471245</v>
      </c>
      <c r="EU38" s="83">
        <f t="shared" si="219"/>
        <v>111855.63149466952</v>
      </c>
      <c r="EV38" s="83">
        <f t="shared" si="219"/>
        <v>111855.63149466952</v>
      </c>
      <c r="EW38" s="83">
        <f t="shared" si="219"/>
        <v>104795.07355475535</v>
      </c>
      <c r="EX38" s="83">
        <f t="shared" si="219"/>
        <v>111855.63149466952</v>
      </c>
      <c r="EY38" s="83">
        <f t="shared" si="219"/>
        <v>48310.610035442056</v>
      </c>
      <c r="EZ38" s="83">
        <f t="shared" si="219"/>
        <v>2416.9834259999993</v>
      </c>
      <c r="FA38" s="83">
        <f t="shared" si="219"/>
        <v>2416.9834259999993</v>
      </c>
      <c r="FB38" s="83">
        <f t="shared" si="219"/>
        <v>2416.9834259999993</v>
      </c>
      <c r="FC38" s="83">
        <f t="shared" si="219"/>
        <v>2416.9834259999993</v>
      </c>
      <c r="FD38" s="83">
        <f t="shared" si="219"/>
        <v>2416.9834259999993</v>
      </c>
      <c r="FE38" s="83">
        <f t="shared" si="219"/>
        <v>51840.889005399142</v>
      </c>
      <c r="FF38" s="83">
        <f t="shared" si="219"/>
        <v>108325.35252471245</v>
      </c>
      <c r="FG38" s="83">
        <f t="shared" si="219"/>
        <v>111855.63149466952</v>
      </c>
      <c r="FH38" s="83">
        <f t="shared" si="219"/>
        <v>111855.63149466952</v>
      </c>
      <c r="FI38" s="83">
        <f t="shared" si="219"/>
        <v>104795.07355475535</v>
      </c>
      <c r="FJ38" s="83">
        <f t="shared" si="219"/>
        <v>111855.63149466952</v>
      </c>
      <c r="FK38" s="83">
        <f t="shared" si="219"/>
        <v>48310.610035442056</v>
      </c>
      <c r="FL38" s="83">
        <f t="shared" si="219"/>
        <v>2416.9834259999993</v>
      </c>
      <c r="FM38" s="83">
        <f t="shared" si="219"/>
        <v>2416.9834259999993</v>
      </c>
      <c r="FN38" s="83">
        <f t="shared" si="219"/>
        <v>2416.9834259999993</v>
      </c>
      <c r="FO38" s="83">
        <f t="shared" si="219"/>
        <v>2416.9834259999993</v>
      </c>
      <c r="FP38" s="83">
        <f t="shared" si="219"/>
        <v>2416.9834259999993</v>
      </c>
      <c r="FQ38" s="83">
        <f t="shared" si="219"/>
        <v>51840.889005399142</v>
      </c>
      <c r="FR38" s="83">
        <f t="shared" si="219"/>
        <v>108325.35252471245</v>
      </c>
      <c r="FS38" s="83">
        <f t="shared" si="219"/>
        <v>111855.63149466952</v>
      </c>
      <c r="FT38" s="83">
        <f t="shared" si="219"/>
        <v>111855.63149466952</v>
      </c>
      <c r="FU38" s="83">
        <f t="shared" si="219"/>
        <v>104795.07355475535</v>
      </c>
      <c r="FV38" s="83">
        <f t="shared" si="219"/>
        <v>111855.63149466952</v>
      </c>
      <c r="FW38" s="83">
        <f t="shared" si="219"/>
        <v>48310.610035442056</v>
      </c>
      <c r="FX38" s="83">
        <f t="shared" si="219"/>
        <v>2416.9834259999993</v>
      </c>
      <c r="FY38" s="83">
        <f t="shared" si="219"/>
        <v>2416.9834259999993</v>
      </c>
      <c r="FZ38" s="83">
        <f t="shared" si="219"/>
        <v>2416.9834259999993</v>
      </c>
      <c r="GA38" s="83">
        <f t="shared" si="219"/>
        <v>2416.9834259999993</v>
      </c>
      <c r="GB38" s="83">
        <f t="shared" si="219"/>
        <v>2416.9834259999993</v>
      </c>
      <c r="GC38" s="83">
        <f t="shared" si="219"/>
        <v>51840.889005399142</v>
      </c>
      <c r="GD38" s="83">
        <f t="shared" si="219"/>
        <v>108325.35252471245</v>
      </c>
      <c r="GE38" s="83">
        <f t="shared" si="219"/>
        <v>111855.63149466952</v>
      </c>
      <c r="GF38" s="83">
        <f t="shared" si="219"/>
        <v>111855.63149466952</v>
      </c>
      <c r="GG38" s="83">
        <f t="shared" si="219"/>
        <v>104795.07355475535</v>
      </c>
      <c r="GH38" s="83">
        <f t="shared" si="219"/>
        <v>111855.63149466952</v>
      </c>
      <c r="GI38" s="83">
        <f t="shared" si="219"/>
        <v>48310.610035442056</v>
      </c>
      <c r="GJ38" s="83">
        <f t="shared" si="219"/>
        <v>2416.9834259999993</v>
      </c>
      <c r="GK38" s="83">
        <f t="shared" si="219"/>
        <v>2416.9834259999993</v>
      </c>
      <c r="GL38" s="83">
        <f t="shared" si="219"/>
        <v>2416.9834259999993</v>
      </c>
      <c r="GM38" s="83">
        <f t="shared" ref="GM38:IG38" si="220">GM3+GM36+GM10+GM11+GM35</f>
        <v>2416.9834259999993</v>
      </c>
      <c r="GN38" s="83">
        <f t="shared" si="220"/>
        <v>2416.9834259999993</v>
      </c>
      <c r="GO38" s="83">
        <f t="shared" si="220"/>
        <v>51840.889005399142</v>
      </c>
      <c r="GP38" s="83">
        <f t="shared" si="220"/>
        <v>108325.35252471245</v>
      </c>
      <c r="GQ38" s="83">
        <f t="shared" si="220"/>
        <v>111855.63149466952</v>
      </c>
      <c r="GR38" s="83">
        <f t="shared" si="220"/>
        <v>111855.63149466952</v>
      </c>
      <c r="GS38" s="83">
        <f t="shared" si="220"/>
        <v>104795.07355475535</v>
      </c>
      <c r="GT38" s="83">
        <f t="shared" si="220"/>
        <v>111855.63149466952</v>
      </c>
      <c r="GU38" s="83">
        <f t="shared" si="220"/>
        <v>48310.610035442056</v>
      </c>
      <c r="GV38" s="83">
        <f t="shared" si="220"/>
        <v>2416.9834259999993</v>
      </c>
      <c r="GW38" s="83">
        <f t="shared" si="220"/>
        <v>2416.9834259999993</v>
      </c>
      <c r="GX38" s="83">
        <f t="shared" si="220"/>
        <v>2416.9834259999993</v>
      </c>
      <c r="GY38" s="83">
        <f t="shared" si="220"/>
        <v>2416.9834259999993</v>
      </c>
      <c r="GZ38" s="83">
        <f t="shared" si="220"/>
        <v>2416.9834259999993</v>
      </c>
      <c r="HA38" s="83">
        <f t="shared" si="220"/>
        <v>51840.889005399142</v>
      </c>
      <c r="HB38" s="83">
        <f t="shared" si="220"/>
        <v>108325.35252471245</v>
      </c>
      <c r="HC38" s="83">
        <f t="shared" si="220"/>
        <v>111855.63149466952</v>
      </c>
      <c r="HD38" s="83">
        <f t="shared" si="220"/>
        <v>111855.63149466952</v>
      </c>
      <c r="HE38" s="83">
        <f t="shared" si="220"/>
        <v>104795.07355475535</v>
      </c>
      <c r="HF38" s="83">
        <f t="shared" si="220"/>
        <v>111855.63149466952</v>
      </c>
      <c r="HG38" s="83">
        <f t="shared" si="220"/>
        <v>48310.610035442056</v>
      </c>
      <c r="HH38" s="83">
        <f t="shared" si="220"/>
        <v>2416.9834259999993</v>
      </c>
      <c r="HI38" s="83">
        <f t="shared" si="220"/>
        <v>2416.9834259999993</v>
      </c>
      <c r="HJ38" s="83">
        <f t="shared" si="220"/>
        <v>2416.9834259999993</v>
      </c>
      <c r="HK38" s="83">
        <f t="shared" si="220"/>
        <v>2416.9834259999993</v>
      </c>
      <c r="HL38" s="83">
        <f t="shared" si="220"/>
        <v>2416.9834259999993</v>
      </c>
      <c r="HM38" s="83">
        <f t="shared" si="220"/>
        <v>51840.889005399142</v>
      </c>
      <c r="HN38" s="83">
        <f t="shared" si="220"/>
        <v>108325.35252471245</v>
      </c>
      <c r="HO38" s="83">
        <f t="shared" si="220"/>
        <v>111855.63149466952</v>
      </c>
      <c r="HP38" s="83">
        <f t="shared" si="220"/>
        <v>111855.63149466952</v>
      </c>
      <c r="HQ38" s="83">
        <f t="shared" si="220"/>
        <v>104795.07355475535</v>
      </c>
      <c r="HR38" s="83">
        <f t="shared" si="220"/>
        <v>111855.63149466952</v>
      </c>
      <c r="HS38" s="83">
        <f t="shared" si="220"/>
        <v>48310.610035442056</v>
      </c>
      <c r="HT38" s="83">
        <f t="shared" si="220"/>
        <v>2416.9834259999993</v>
      </c>
      <c r="HU38" s="83">
        <f t="shared" si="220"/>
        <v>2416.9834259999993</v>
      </c>
      <c r="HV38" s="83">
        <f t="shared" si="220"/>
        <v>2416.9834259999993</v>
      </c>
      <c r="HW38" s="83">
        <f t="shared" si="220"/>
        <v>2416.9834259999993</v>
      </c>
      <c r="HX38" s="83">
        <f t="shared" si="220"/>
        <v>2416.9834259999993</v>
      </c>
      <c r="HY38" s="83">
        <f t="shared" si="220"/>
        <v>51840.889005399142</v>
      </c>
      <c r="HZ38" s="83">
        <f t="shared" si="220"/>
        <v>108325.35252471245</v>
      </c>
      <c r="IA38" s="83">
        <f t="shared" si="220"/>
        <v>111855.63149466952</v>
      </c>
      <c r="IB38" s="83">
        <f t="shared" si="220"/>
        <v>111855.63149466952</v>
      </c>
      <c r="IC38" s="83">
        <f t="shared" si="220"/>
        <v>104795.07355475535</v>
      </c>
      <c r="ID38" s="83">
        <f t="shared" si="220"/>
        <v>111855.63149466952</v>
      </c>
      <c r="IE38" s="83">
        <f t="shared" si="220"/>
        <v>48310.610035442056</v>
      </c>
      <c r="IF38" s="83">
        <f t="shared" si="220"/>
        <v>2416.9834259999993</v>
      </c>
      <c r="IG38" s="83">
        <f t="shared" si="220"/>
        <v>2416.9834259999993</v>
      </c>
    </row>
    <row r="39" spans="1:241" ht="30" outlineLevel="1" x14ac:dyDescent="0.25">
      <c r="A39" s="94" t="s">
        <v>314</v>
      </c>
      <c r="B39" s="83">
        <f>B38</f>
        <v>0</v>
      </c>
      <c r="C39" s="83">
        <f t="shared" ref="C39:BN39" si="221">B39+C38</f>
        <v>1074.2148559999996</v>
      </c>
      <c r="D39" s="83">
        <f t="shared" si="221"/>
        <v>2148.4297119999992</v>
      </c>
      <c r="E39" s="83">
        <f t="shared" si="221"/>
        <v>-177319.82600910126</v>
      </c>
      <c r="F39" s="83">
        <f t="shared" si="221"/>
        <v>-331683.87572161888</v>
      </c>
      <c r="G39" s="83">
        <f t="shared" si="221"/>
        <v>-484478.91255860002</v>
      </c>
      <c r="H39" s="83">
        <f t="shared" si="221"/>
        <v>-636736.84196758119</v>
      </c>
      <c r="I39" s="83">
        <f t="shared" si="221"/>
        <v>-792132.79712763522</v>
      </c>
      <c r="J39" s="83">
        <f t="shared" si="221"/>
        <v>-944390.72653661633</v>
      </c>
      <c r="K39" s="83">
        <f t="shared" si="221"/>
        <v>-1124890.8877052541</v>
      </c>
      <c r="L39" s="83">
        <f t="shared" si="221"/>
        <v>-1325788.2162558662</v>
      </c>
      <c r="M39" s="83">
        <f t="shared" si="221"/>
        <v>-1526685.5448064783</v>
      </c>
      <c r="N39" s="83">
        <f t="shared" si="221"/>
        <v>-1727582.8733570904</v>
      </c>
      <c r="O39" s="83">
        <f t="shared" si="221"/>
        <v>-1928480.2019077025</v>
      </c>
      <c r="P39" s="83">
        <f t="shared" si="221"/>
        <v>-2129377.5304583143</v>
      </c>
      <c r="Q39" s="83">
        <f t="shared" si="221"/>
        <v>-2297325.5886226604</v>
      </c>
      <c r="R39" s="83">
        <f t="shared" si="221"/>
        <v>-2427617.337774131</v>
      </c>
      <c r="S39" s="83">
        <f t="shared" si="221"/>
        <v>-2555555.5676122969</v>
      </c>
      <c r="T39" s="83">
        <f t="shared" si="221"/>
        <v>-2682688.1363084624</v>
      </c>
      <c r="U39" s="83">
        <f t="shared" si="221"/>
        <v>-2816881.2629445423</v>
      </c>
      <c r="V39" s="83">
        <f t="shared" si="221"/>
        <v>-2944013.8316407078</v>
      </c>
      <c r="W39" s="83">
        <f t="shared" si="221"/>
        <v>-3111156.2286630538</v>
      </c>
      <c r="X39" s="83">
        <f t="shared" si="221"/>
        <v>-3311247.8960716659</v>
      </c>
      <c r="Y39" s="83">
        <f t="shared" si="221"/>
        <v>-3511339.563480278</v>
      </c>
      <c r="Z39" s="83">
        <f t="shared" si="221"/>
        <v>-3711431.2308888901</v>
      </c>
      <c r="AA39" s="83">
        <f t="shared" si="221"/>
        <v>-3911522.8982975022</v>
      </c>
      <c r="AB39" s="83">
        <f t="shared" si="221"/>
        <v>-4111614.5657061143</v>
      </c>
      <c r="AC39" s="83">
        <f t="shared" si="221"/>
        <v>-4262282.3275353275</v>
      </c>
      <c r="AD39" s="83">
        <f t="shared" si="221"/>
        <v>-4356465.6258452274</v>
      </c>
      <c r="AE39" s="83">
        <f t="shared" si="221"/>
        <v>-4447118.6451851698</v>
      </c>
      <c r="AF39" s="83">
        <f t="shared" si="221"/>
        <v>-4537771.6645251121</v>
      </c>
      <c r="AG39" s="83">
        <f t="shared" si="221"/>
        <v>-4639015.5207749261</v>
      </c>
      <c r="AH39" s="83">
        <f t="shared" si="221"/>
        <v>-4729668.5401148684</v>
      </c>
      <c r="AI39" s="83">
        <f t="shared" si="221"/>
        <v>-4880336.3019440817</v>
      </c>
      <c r="AJ39" s="83">
        <f t="shared" si="221"/>
        <v>-5080427.9693526933</v>
      </c>
      <c r="AK39" s="83">
        <f t="shared" si="221"/>
        <v>-5280519.6367613049</v>
      </c>
      <c r="AL39" s="83">
        <f t="shared" si="221"/>
        <v>-5480611.3041699165</v>
      </c>
      <c r="AM39" s="83">
        <f t="shared" si="221"/>
        <v>-5680702.9715785282</v>
      </c>
      <c r="AN39" s="83">
        <f t="shared" si="221"/>
        <v>-5880794.6389871398</v>
      </c>
      <c r="AO39" s="83">
        <f t="shared" si="221"/>
        <v>-6031462.400816353</v>
      </c>
      <c r="AP39" s="83">
        <f t="shared" si="221"/>
        <v>-6125645.6991262529</v>
      </c>
      <c r="AQ39" s="83">
        <f t="shared" si="221"/>
        <v>-6216298.7184661953</v>
      </c>
      <c r="AR39" s="83">
        <f t="shared" si="221"/>
        <v>-6306951.7378061377</v>
      </c>
      <c r="AS39" s="83">
        <f t="shared" si="221"/>
        <v>-6408195.5940559516</v>
      </c>
      <c r="AT39" s="83">
        <f t="shared" si="221"/>
        <v>-6498848.6133958939</v>
      </c>
      <c r="AU39" s="83">
        <f t="shared" si="221"/>
        <v>-6649516.3752251072</v>
      </c>
      <c r="AV39" s="83">
        <f t="shared" si="221"/>
        <v>-6849608.0426337188</v>
      </c>
      <c r="AW39" s="83">
        <f t="shared" si="221"/>
        <v>-7049699.7100423304</v>
      </c>
      <c r="AX39" s="83">
        <f t="shared" si="221"/>
        <v>-7249791.3774509421</v>
      </c>
      <c r="AY39" s="83">
        <f t="shared" si="221"/>
        <v>-7449883.0448595537</v>
      </c>
      <c r="AZ39" s="83">
        <f t="shared" si="221"/>
        <v>-7649974.7122681653</v>
      </c>
      <c r="BA39" s="83">
        <f t="shared" si="221"/>
        <v>-7800642.4740973786</v>
      </c>
      <c r="BB39" s="83">
        <f t="shared" si="221"/>
        <v>-7894825.7724072784</v>
      </c>
      <c r="BC39" s="83">
        <f t="shared" si="221"/>
        <v>-7985478.7917472208</v>
      </c>
      <c r="BD39" s="83">
        <f t="shared" si="221"/>
        <v>-8076131.8110871632</v>
      </c>
      <c r="BE39" s="83">
        <f t="shared" si="221"/>
        <v>-8173845.3883670196</v>
      </c>
      <c r="BF39" s="83">
        <f t="shared" si="221"/>
        <v>-8264498.407706962</v>
      </c>
      <c r="BG39" s="83">
        <f t="shared" si="221"/>
        <v>-8418696.4485061318</v>
      </c>
      <c r="BH39" s="83">
        <f t="shared" si="221"/>
        <v>-8618788.1159147434</v>
      </c>
      <c r="BI39" s="83">
        <f t="shared" si="221"/>
        <v>-8818879.783323355</v>
      </c>
      <c r="BJ39" s="83">
        <f t="shared" si="221"/>
        <v>-9018971.4507319666</v>
      </c>
      <c r="BK39" s="83">
        <f t="shared" si="221"/>
        <v>-9219063.1181405783</v>
      </c>
      <c r="BL39" s="83">
        <f t="shared" si="221"/>
        <v>-9419154.7855491899</v>
      </c>
      <c r="BM39" s="83">
        <f t="shared" si="221"/>
        <v>-9367313.8965437915</v>
      </c>
      <c r="BN39" s="83">
        <f t="shared" si="221"/>
        <v>-9258988.5440190788</v>
      </c>
      <c r="BO39" s="83">
        <f t="shared" ref="BO39:DZ39" si="222">BN39+BO38</f>
        <v>-9147132.9125244096</v>
      </c>
      <c r="BP39" s="83">
        <f t="shared" si="222"/>
        <v>-9035277.2810297403</v>
      </c>
      <c r="BQ39" s="83">
        <f t="shared" si="222"/>
        <v>-8930482.2074749842</v>
      </c>
      <c r="BR39" s="83">
        <f t="shared" si="222"/>
        <v>-8818626.575980315</v>
      </c>
      <c r="BS39" s="83">
        <f t="shared" si="222"/>
        <v>-8770315.9659448732</v>
      </c>
      <c r="BT39" s="83">
        <f t="shared" si="222"/>
        <v>-8767898.9825188722</v>
      </c>
      <c r="BU39" s="83">
        <f t="shared" si="222"/>
        <v>-8765481.9990928713</v>
      </c>
      <c r="BV39" s="83">
        <f t="shared" si="222"/>
        <v>-8763065.0156668704</v>
      </c>
      <c r="BW39" s="83">
        <f t="shared" si="222"/>
        <v>-8760648.0322408695</v>
      </c>
      <c r="BX39" s="83">
        <f t="shared" si="222"/>
        <v>-8758231.0488148686</v>
      </c>
      <c r="BY39" s="83">
        <f t="shared" si="222"/>
        <v>-8706390.1598094702</v>
      </c>
      <c r="BZ39" s="83">
        <f t="shared" si="222"/>
        <v>-8598064.8072847575</v>
      </c>
      <c r="CA39" s="83">
        <f t="shared" si="222"/>
        <v>-8486209.1757900883</v>
      </c>
      <c r="CB39" s="83">
        <f t="shared" si="222"/>
        <v>-8374353.544295419</v>
      </c>
      <c r="CC39" s="83">
        <f t="shared" si="222"/>
        <v>-8269558.4707406638</v>
      </c>
      <c r="CD39" s="83">
        <f t="shared" si="222"/>
        <v>-8157702.8392459946</v>
      </c>
      <c r="CE39" s="83">
        <f t="shared" si="222"/>
        <v>-8109392.2292105528</v>
      </c>
      <c r="CF39" s="83">
        <f t="shared" si="222"/>
        <v>-8106975.2457845528</v>
      </c>
      <c r="CG39" s="83">
        <f t="shared" si="222"/>
        <v>-8104558.2623585528</v>
      </c>
      <c r="CH39" s="83">
        <f t="shared" si="222"/>
        <v>-8102141.2789325528</v>
      </c>
      <c r="CI39" s="83">
        <f t="shared" si="222"/>
        <v>-8099724.2955065528</v>
      </c>
      <c r="CJ39" s="83">
        <f t="shared" si="222"/>
        <v>-8097307.3120805528</v>
      </c>
      <c r="CK39" s="83">
        <f t="shared" si="222"/>
        <v>-8045466.4230751535</v>
      </c>
      <c r="CL39" s="83">
        <f t="shared" si="222"/>
        <v>-7937141.0705504408</v>
      </c>
      <c r="CM39" s="83">
        <f t="shared" si="222"/>
        <v>-7825285.4390557716</v>
      </c>
      <c r="CN39" s="83">
        <f t="shared" si="222"/>
        <v>-7713429.8075611023</v>
      </c>
      <c r="CO39" s="83">
        <f t="shared" si="222"/>
        <v>-7608634.7340063471</v>
      </c>
      <c r="CP39" s="83">
        <f t="shared" si="222"/>
        <v>-7496779.1025116779</v>
      </c>
      <c r="CQ39" s="83">
        <f t="shared" si="222"/>
        <v>-7448468.4924762361</v>
      </c>
      <c r="CR39" s="83">
        <f t="shared" si="222"/>
        <v>-7446051.5090502361</v>
      </c>
      <c r="CS39" s="83">
        <f t="shared" si="222"/>
        <v>-7443634.5256242361</v>
      </c>
      <c r="CT39" s="83">
        <f t="shared" si="222"/>
        <v>-7441217.5421982361</v>
      </c>
      <c r="CU39" s="83">
        <f t="shared" si="222"/>
        <v>-7438800.5587722361</v>
      </c>
      <c r="CV39" s="83">
        <f t="shared" si="222"/>
        <v>-7436383.5753462361</v>
      </c>
      <c r="CW39" s="83">
        <f t="shared" si="222"/>
        <v>-7384542.6863408368</v>
      </c>
      <c r="CX39" s="83">
        <f t="shared" si="222"/>
        <v>-7276217.3338161241</v>
      </c>
      <c r="CY39" s="83">
        <f t="shared" si="222"/>
        <v>-7164361.7023214549</v>
      </c>
      <c r="CZ39" s="83">
        <f t="shared" si="222"/>
        <v>-7052506.0708267856</v>
      </c>
      <c r="DA39" s="83">
        <f t="shared" si="222"/>
        <v>-6947710.9972720305</v>
      </c>
      <c r="DB39" s="83">
        <f t="shared" si="222"/>
        <v>-6835855.3657773612</v>
      </c>
      <c r="DC39" s="83">
        <f t="shared" si="222"/>
        <v>-6787544.7557419194</v>
      </c>
      <c r="DD39" s="83">
        <f t="shared" si="222"/>
        <v>-6785127.7723159194</v>
      </c>
      <c r="DE39" s="83">
        <f t="shared" si="222"/>
        <v>-6782710.7888899194</v>
      </c>
      <c r="DF39" s="83">
        <f t="shared" si="222"/>
        <v>-6780293.8054639194</v>
      </c>
      <c r="DG39" s="83">
        <f t="shared" si="222"/>
        <v>-6777876.8220379194</v>
      </c>
      <c r="DH39" s="83">
        <f t="shared" si="222"/>
        <v>-6775459.8386119194</v>
      </c>
      <c r="DI39" s="83">
        <f t="shared" si="222"/>
        <v>-6723618.9496065201</v>
      </c>
      <c r="DJ39" s="83">
        <f t="shared" si="222"/>
        <v>-6615293.5970818074</v>
      </c>
      <c r="DK39" s="83">
        <f t="shared" si="222"/>
        <v>-6503437.9655871382</v>
      </c>
      <c r="DL39" s="83">
        <f t="shared" si="222"/>
        <v>-6391582.334092469</v>
      </c>
      <c r="DM39" s="83">
        <f t="shared" si="222"/>
        <v>-6286787.2605377138</v>
      </c>
      <c r="DN39" s="83">
        <f t="shared" si="222"/>
        <v>-6174931.6290430445</v>
      </c>
      <c r="DO39" s="83">
        <f t="shared" si="222"/>
        <v>-6126621.0190076027</v>
      </c>
      <c r="DP39" s="83">
        <f t="shared" si="222"/>
        <v>-6124204.0355816027</v>
      </c>
      <c r="DQ39" s="83">
        <f t="shared" si="222"/>
        <v>-6121787.0521556027</v>
      </c>
      <c r="DR39" s="83">
        <f t="shared" si="222"/>
        <v>-6119370.0687296027</v>
      </c>
      <c r="DS39" s="83">
        <f t="shared" si="222"/>
        <v>-6116953.0853036027</v>
      </c>
      <c r="DT39" s="83">
        <f t="shared" si="222"/>
        <v>-6114536.1018776027</v>
      </c>
      <c r="DU39" s="83">
        <f t="shared" si="222"/>
        <v>-6062695.2128722034</v>
      </c>
      <c r="DV39" s="83">
        <f t="shared" si="222"/>
        <v>-5954369.8603474908</v>
      </c>
      <c r="DW39" s="83">
        <f t="shared" si="222"/>
        <v>-5842514.2288528215</v>
      </c>
      <c r="DX39" s="83">
        <f t="shared" si="222"/>
        <v>-5730658.5973581523</v>
      </c>
      <c r="DY39" s="83">
        <f t="shared" si="222"/>
        <v>-5625863.5238033971</v>
      </c>
      <c r="DZ39" s="83">
        <f t="shared" si="222"/>
        <v>-5514007.8923087278</v>
      </c>
      <c r="EA39" s="83">
        <f t="shared" ref="EA39:GL39" si="223">DZ39+EA38</f>
        <v>-5465697.282273286</v>
      </c>
      <c r="EB39" s="83">
        <f t="shared" si="223"/>
        <v>-5463280.298847286</v>
      </c>
      <c r="EC39" s="83">
        <f t="shared" si="223"/>
        <v>-5460863.315421286</v>
      </c>
      <c r="ED39" s="83">
        <f t="shared" si="223"/>
        <v>-5458446.331995286</v>
      </c>
      <c r="EE39" s="83">
        <f t="shared" si="223"/>
        <v>-5456029.3485692861</v>
      </c>
      <c r="EF39" s="83">
        <f t="shared" si="223"/>
        <v>-5453612.3651432861</v>
      </c>
      <c r="EG39" s="83">
        <f t="shared" si="223"/>
        <v>-5401771.4761378868</v>
      </c>
      <c r="EH39" s="83">
        <f t="shared" si="223"/>
        <v>-5293446.1236131741</v>
      </c>
      <c r="EI39" s="83">
        <f t="shared" si="223"/>
        <v>-5181590.4921185048</v>
      </c>
      <c r="EJ39" s="83">
        <f t="shared" si="223"/>
        <v>-5069734.8606238356</v>
      </c>
      <c r="EK39" s="83">
        <f t="shared" si="223"/>
        <v>-4964939.7870690804</v>
      </c>
      <c r="EL39" s="83">
        <f t="shared" si="223"/>
        <v>-4853084.1555744112</v>
      </c>
      <c r="EM39" s="83">
        <f t="shared" si="223"/>
        <v>-4804773.5455389693</v>
      </c>
      <c r="EN39" s="83">
        <f t="shared" si="223"/>
        <v>-4802356.5621129693</v>
      </c>
      <c r="EO39" s="83">
        <f t="shared" si="223"/>
        <v>-4799939.5786869694</v>
      </c>
      <c r="EP39" s="83">
        <f t="shared" si="223"/>
        <v>-4797522.5952609694</v>
      </c>
      <c r="EQ39" s="83">
        <f t="shared" si="223"/>
        <v>-4795105.6118349694</v>
      </c>
      <c r="ER39" s="83">
        <f t="shared" si="223"/>
        <v>-4792688.6284089694</v>
      </c>
      <c r="ES39" s="83">
        <f t="shared" si="223"/>
        <v>-4740847.7394035701</v>
      </c>
      <c r="ET39" s="83">
        <f t="shared" si="223"/>
        <v>-4632522.3868788574</v>
      </c>
      <c r="EU39" s="83">
        <f t="shared" si="223"/>
        <v>-4520666.7553841881</v>
      </c>
      <c r="EV39" s="83">
        <f t="shared" si="223"/>
        <v>-4408811.1238895189</v>
      </c>
      <c r="EW39" s="83">
        <f t="shared" si="223"/>
        <v>-4304016.0503347637</v>
      </c>
      <c r="EX39" s="83">
        <f t="shared" si="223"/>
        <v>-4192160.418840094</v>
      </c>
      <c r="EY39" s="83">
        <f t="shared" si="223"/>
        <v>-4143849.8088046517</v>
      </c>
      <c r="EZ39" s="83">
        <f t="shared" si="223"/>
        <v>-4141432.8253786517</v>
      </c>
      <c r="FA39" s="83">
        <f t="shared" si="223"/>
        <v>-4139015.8419526517</v>
      </c>
      <c r="FB39" s="83">
        <f t="shared" si="223"/>
        <v>-4136598.8585266517</v>
      </c>
      <c r="FC39" s="83">
        <f t="shared" si="223"/>
        <v>-4134181.8751006518</v>
      </c>
      <c r="FD39" s="83">
        <f t="shared" si="223"/>
        <v>-4131764.8916746518</v>
      </c>
      <c r="FE39" s="83">
        <f t="shared" si="223"/>
        <v>-4079924.0026692525</v>
      </c>
      <c r="FF39" s="83">
        <f t="shared" si="223"/>
        <v>-3971598.6501445398</v>
      </c>
      <c r="FG39" s="83">
        <f t="shared" si="223"/>
        <v>-3859743.0186498701</v>
      </c>
      <c r="FH39" s="83">
        <f t="shared" si="223"/>
        <v>-3747887.3871552004</v>
      </c>
      <c r="FI39" s="83">
        <f t="shared" si="223"/>
        <v>-3643092.3136004452</v>
      </c>
      <c r="FJ39" s="83">
        <f t="shared" si="223"/>
        <v>-3531236.6821057755</v>
      </c>
      <c r="FK39" s="83">
        <f t="shared" si="223"/>
        <v>-3482926.0720703332</v>
      </c>
      <c r="FL39" s="83">
        <f t="shared" si="223"/>
        <v>-3480509.0886443332</v>
      </c>
      <c r="FM39" s="83">
        <f t="shared" si="223"/>
        <v>-3478092.1052183332</v>
      </c>
      <c r="FN39" s="83">
        <f t="shared" si="223"/>
        <v>-3475675.1217923332</v>
      </c>
      <c r="FO39" s="83">
        <f t="shared" si="223"/>
        <v>-3473258.1383663332</v>
      </c>
      <c r="FP39" s="83">
        <f t="shared" si="223"/>
        <v>-3470841.1549403332</v>
      </c>
      <c r="FQ39" s="83">
        <f t="shared" si="223"/>
        <v>-3419000.2659349339</v>
      </c>
      <c r="FR39" s="83">
        <f t="shared" si="223"/>
        <v>-3310674.9134102212</v>
      </c>
      <c r="FS39" s="83">
        <f t="shared" si="223"/>
        <v>-3198819.2819155515</v>
      </c>
      <c r="FT39" s="83">
        <f t="shared" si="223"/>
        <v>-3086963.6504208818</v>
      </c>
      <c r="FU39" s="83">
        <f t="shared" si="223"/>
        <v>-2982168.5768661266</v>
      </c>
      <c r="FV39" s="83">
        <f t="shared" si="223"/>
        <v>-2870312.9453714569</v>
      </c>
      <c r="FW39" s="83">
        <f t="shared" si="223"/>
        <v>-2822002.3353360146</v>
      </c>
      <c r="FX39" s="83">
        <f t="shared" si="223"/>
        <v>-2819585.3519100146</v>
      </c>
      <c r="FY39" s="83">
        <f t="shared" si="223"/>
        <v>-2817168.3684840146</v>
      </c>
      <c r="FZ39" s="83">
        <f t="shared" si="223"/>
        <v>-2814751.3850580147</v>
      </c>
      <c r="GA39" s="83">
        <f t="shared" si="223"/>
        <v>-2812334.4016320147</v>
      </c>
      <c r="GB39" s="83">
        <f t="shared" si="223"/>
        <v>-2809917.4182060147</v>
      </c>
      <c r="GC39" s="83">
        <f t="shared" si="223"/>
        <v>-2758076.5292006154</v>
      </c>
      <c r="GD39" s="83">
        <f t="shared" si="223"/>
        <v>-2649751.1766759027</v>
      </c>
      <c r="GE39" s="83">
        <f t="shared" si="223"/>
        <v>-2537895.545181233</v>
      </c>
      <c r="GF39" s="83">
        <f t="shared" si="223"/>
        <v>-2426039.9136865633</v>
      </c>
      <c r="GG39" s="83">
        <f t="shared" si="223"/>
        <v>-2321244.8401318081</v>
      </c>
      <c r="GH39" s="83">
        <f t="shared" si="223"/>
        <v>-2209389.2086371384</v>
      </c>
      <c r="GI39" s="83">
        <f t="shared" si="223"/>
        <v>-2161078.5986016961</v>
      </c>
      <c r="GJ39" s="83">
        <f t="shared" si="223"/>
        <v>-2158661.6151756961</v>
      </c>
      <c r="GK39" s="83">
        <f t="shared" si="223"/>
        <v>-2156244.6317496961</v>
      </c>
      <c r="GL39" s="83">
        <f t="shared" si="223"/>
        <v>-2153827.6483236961</v>
      </c>
      <c r="GM39" s="83">
        <f t="shared" ref="GM39:IG39" si="224">GL39+GM38</f>
        <v>-2151410.6648976961</v>
      </c>
      <c r="GN39" s="83">
        <f t="shared" si="224"/>
        <v>-2148993.6814716961</v>
      </c>
      <c r="GO39" s="83">
        <f t="shared" si="224"/>
        <v>-2097152.7924662968</v>
      </c>
      <c r="GP39" s="83">
        <f t="shared" si="224"/>
        <v>-1988827.4399415844</v>
      </c>
      <c r="GQ39" s="83">
        <f t="shared" si="224"/>
        <v>-1876971.8084469149</v>
      </c>
      <c r="GR39" s="83">
        <f t="shared" si="224"/>
        <v>-1765116.1769522454</v>
      </c>
      <c r="GS39" s="83">
        <f t="shared" si="224"/>
        <v>-1660321.10339749</v>
      </c>
      <c r="GT39" s="83">
        <f t="shared" si="224"/>
        <v>-1548465.4719028205</v>
      </c>
      <c r="GU39" s="83">
        <f t="shared" si="224"/>
        <v>-1500154.8618673785</v>
      </c>
      <c r="GV39" s="83">
        <f t="shared" si="224"/>
        <v>-1497737.8784413785</v>
      </c>
      <c r="GW39" s="83">
        <f t="shared" si="224"/>
        <v>-1495320.8950153785</v>
      </c>
      <c r="GX39" s="83">
        <f t="shared" si="224"/>
        <v>-1492903.9115893785</v>
      </c>
      <c r="GY39" s="83">
        <f t="shared" si="224"/>
        <v>-1490486.9281633785</v>
      </c>
      <c r="GZ39" s="83">
        <f t="shared" si="224"/>
        <v>-1488069.9447373785</v>
      </c>
      <c r="HA39" s="83">
        <f t="shared" si="224"/>
        <v>-1436229.0557319794</v>
      </c>
      <c r="HB39" s="83">
        <f t="shared" si="224"/>
        <v>-1327903.703207267</v>
      </c>
      <c r="HC39" s="83">
        <f t="shared" si="224"/>
        <v>-1216048.0717125975</v>
      </c>
      <c r="HD39" s="83">
        <f t="shared" si="224"/>
        <v>-1104192.440217928</v>
      </c>
      <c r="HE39" s="83">
        <f t="shared" si="224"/>
        <v>-999397.36666317272</v>
      </c>
      <c r="HF39" s="83">
        <f t="shared" si="224"/>
        <v>-887541.73516850325</v>
      </c>
      <c r="HG39" s="83">
        <f t="shared" si="224"/>
        <v>-839231.1251330612</v>
      </c>
      <c r="HH39" s="83">
        <f t="shared" si="224"/>
        <v>-836814.14170706121</v>
      </c>
      <c r="HI39" s="83">
        <f t="shared" si="224"/>
        <v>-834397.15828106122</v>
      </c>
      <c r="HJ39" s="83">
        <f t="shared" si="224"/>
        <v>-831980.17485506122</v>
      </c>
      <c r="HK39" s="83">
        <f t="shared" si="224"/>
        <v>-829563.19142906123</v>
      </c>
      <c r="HL39" s="83">
        <f t="shared" si="224"/>
        <v>-827146.20800306124</v>
      </c>
      <c r="HM39" s="83">
        <f t="shared" si="224"/>
        <v>-775305.31899766205</v>
      </c>
      <c r="HN39" s="83">
        <f t="shared" si="224"/>
        <v>-666979.9664729496</v>
      </c>
      <c r="HO39" s="83">
        <f t="shared" si="224"/>
        <v>-555124.33497828012</v>
      </c>
      <c r="HP39" s="83">
        <f t="shared" si="224"/>
        <v>-443268.70348361059</v>
      </c>
      <c r="HQ39" s="83">
        <f t="shared" si="224"/>
        <v>-338473.62992885523</v>
      </c>
      <c r="HR39" s="83">
        <f t="shared" si="224"/>
        <v>-226617.99843418569</v>
      </c>
      <c r="HS39" s="83">
        <f t="shared" si="224"/>
        <v>-178307.38839874364</v>
      </c>
      <c r="HT39" s="83">
        <f t="shared" si="224"/>
        <v>-175890.40497274365</v>
      </c>
      <c r="HU39" s="83">
        <f t="shared" si="224"/>
        <v>-173473.42154674366</v>
      </c>
      <c r="HV39" s="83">
        <f t="shared" si="224"/>
        <v>-171056.43812074367</v>
      </c>
      <c r="HW39" s="83">
        <f t="shared" si="224"/>
        <v>-168639.45469474368</v>
      </c>
      <c r="HX39" s="83">
        <f t="shared" si="224"/>
        <v>-166222.47126874368</v>
      </c>
      <c r="HY39" s="83">
        <f t="shared" si="224"/>
        <v>-114381.58226334455</v>
      </c>
      <c r="HZ39" s="83">
        <f t="shared" si="224"/>
        <v>-6056.2297386321006</v>
      </c>
      <c r="IA39" s="83">
        <f t="shared" si="224"/>
        <v>105799.40175603742</v>
      </c>
      <c r="IB39" s="83">
        <f t="shared" si="224"/>
        <v>217655.03325070694</v>
      </c>
      <c r="IC39" s="83">
        <f t="shared" si="224"/>
        <v>322450.10680546227</v>
      </c>
      <c r="ID39" s="83">
        <f t="shared" si="224"/>
        <v>434305.73830013181</v>
      </c>
      <c r="IE39" s="83">
        <f t="shared" si="224"/>
        <v>482616.34833557386</v>
      </c>
      <c r="IF39" s="83">
        <f t="shared" si="224"/>
        <v>485033.33176157385</v>
      </c>
      <c r="IG39" s="83">
        <f t="shared" si="224"/>
        <v>487450.31518757384</v>
      </c>
    </row>
    <row r="40" spans="1:241" ht="30" outlineLevel="1" x14ac:dyDescent="0.25">
      <c r="A40" s="94" t="s">
        <v>313</v>
      </c>
      <c r="B40" s="83">
        <f>B38/POWER((1+'Вхідні дані'!$B$13/12),B1)</f>
        <v>0</v>
      </c>
      <c r="C40" s="83">
        <f>C38/POWER((1+'Вхідні дані'!$B$13/12),C1)</f>
        <v>1030.8167547788421</v>
      </c>
      <c r="D40" s="83">
        <f>D38/POWER((1+'Вхідні дані'!$B$13/12),D1)</f>
        <v>1009.7796781507026</v>
      </c>
      <c r="E40" s="83">
        <f>E38/POWER((1+'Вхідні дані'!$B$13/12),E1)</f>
        <v>-165260.19894910266</v>
      </c>
      <c r="F40" s="83">
        <f>F38/POWER((1+'Вхідні дані'!$B$13/12),F1)</f>
        <v>-139242.54433810149</v>
      </c>
      <c r="G40" s="83">
        <f>G38/POWER((1+'Вхідні дані'!$B$13/12),G1)</f>
        <v>-135014.43134204287</v>
      </c>
      <c r="H40" s="83">
        <f>H38/POWER((1+'Вхідні дані'!$B$13/12),H1)</f>
        <v>-131794.11582153404</v>
      </c>
      <c r="I40" s="83">
        <f>I38/POWER((1+'Вхідні дані'!$B$13/12),I1)</f>
        <v>-131765.27386969936</v>
      </c>
      <c r="J40" s="83">
        <f>J38/POWER((1+'Вхідні дані'!$B$13/12),J1)</f>
        <v>-126469.6554988815</v>
      </c>
      <c r="K40" s="83">
        <f>K38/POWER((1+'Вхідні дані'!$B$13/12),K1)</f>
        <v>-146868.6718430371</v>
      </c>
      <c r="L40" s="83">
        <f>L38/POWER((1+'Вхідні дані'!$B$13/12),L1)</f>
        <v>-160129.33222076506</v>
      </c>
      <c r="M40" s="83">
        <f>M38/POWER((1+'Вхідні дані'!$B$13/12),M1)</f>
        <v>-156861.38666523926</v>
      </c>
      <c r="N40" s="83">
        <f>N38/POWER((1+'Вхідні дані'!$B$13/12),N1)</f>
        <v>-153660.13387615274</v>
      </c>
      <c r="O40" s="83">
        <f>O38/POWER((1+'Вхідні дані'!$B$13/12),O1)</f>
        <v>-150524.21277663947</v>
      </c>
      <c r="P40" s="83">
        <f>P38/POWER((1+'Вхідні дані'!$B$13/12),P1)</f>
        <v>-147452.29006691213</v>
      </c>
      <c r="Q40" s="83">
        <f>Q38/POWER((1+'Вхідні дані'!$B$13/12),Q1)</f>
        <v>-120752.88188146691</v>
      </c>
      <c r="R40" s="83">
        <f>R38/POWER((1+'Вхідні дані'!$B$13/12),R1)</f>
        <v>-91766.589056037847</v>
      </c>
      <c r="S40" s="83">
        <f>S38/POWER((1+'Вхідні дані'!$B$13/12),S1)</f>
        <v>-88270.008771390014</v>
      </c>
      <c r="T40" s="83">
        <f>T38/POWER((1+'Вхідні дані'!$B$13/12),T1)</f>
        <v>-85924.064319783298</v>
      </c>
      <c r="U40" s="83">
        <f>U38/POWER((1+'Вхідні дані'!$B$13/12),U1)</f>
        <v>-88845.087375310206</v>
      </c>
      <c r="V40" s="83">
        <f>V38/POWER((1+'Вхідні дані'!$B$13/12),V1)</f>
        <v>-82452.74643597698</v>
      </c>
      <c r="W40" s="83">
        <f>W38/POWER((1+'Вхідні дані'!$B$13/12),W1)</f>
        <v>-106189.13614775786</v>
      </c>
      <c r="X40" s="83">
        <f>X38/POWER((1+'Вхідні дані'!$B$13/12),X1)</f>
        <v>-124528.17467639584</v>
      </c>
      <c r="Y40" s="83">
        <f>Y38/POWER((1+'Вхідні дані'!$B$13/12),Y1)</f>
        <v>-121986.7833564694</v>
      </c>
      <c r="Z40" s="83">
        <f>Z38/POWER((1+'Вхідні дані'!$B$13/12),Z1)</f>
        <v>-119497.25716552105</v>
      </c>
      <c r="AA40" s="83">
        <f>AA38/POWER((1+'Вхідні дані'!$B$13/12),AA1)</f>
        <v>-117058.53763153084</v>
      </c>
      <c r="AB40" s="83">
        <f>AB38/POWER((1+'Вхідні дані'!$B$13/12),AB1)</f>
        <v>-114669.5878839486</v>
      </c>
      <c r="AC40" s="83">
        <f>AC38/POWER((1+'Вхідні дані'!$B$13/12),AC1)</f>
        <v>-84583.322891621487</v>
      </c>
      <c r="AD40" s="83">
        <f>AD38/POWER((1+'Вхідні дані'!$B$13/12),AD1)</f>
        <v>-51794.477761615097</v>
      </c>
      <c r="AE40" s="83">
        <f>AE38/POWER((1+'Вхідні дані'!$B$13/12),AE1)</f>
        <v>-48835.652407281414</v>
      </c>
      <c r="AF40" s="83">
        <f>AF38/POWER((1+'Вхідні дані'!$B$13/12),AF1)</f>
        <v>-47839.006439785881</v>
      </c>
      <c r="AG40" s="83">
        <f>AG38/POWER((1+'Вхідні дані'!$B$13/12),AG1)</f>
        <v>-52337.589146467304</v>
      </c>
      <c r="AH40" s="83">
        <f>AH38/POWER((1+'Вхідні дані'!$B$13/12),AH1)</f>
        <v>-45906.318549465519</v>
      </c>
      <c r="AI40" s="83">
        <f>AI38/POWER((1+'Вхідні дані'!$B$13/12),AI1)</f>
        <v>-74740.446271280234</v>
      </c>
      <c r="AJ40" s="83">
        <f>AJ38/POWER((1+'Вхідні дані'!$B$13/12),AJ1)</f>
        <v>-97232.065252223969</v>
      </c>
      <c r="AK40" s="83">
        <f>AK38/POWER((1+'Вхідні дані'!$B$13/12),AK1)</f>
        <v>-95247.737389933682</v>
      </c>
      <c r="AL40" s="83">
        <f>AL38/POWER((1+'Вхідні дані'!$B$13/12),AL1)</f>
        <v>-93303.906014628912</v>
      </c>
      <c r="AM40" s="83">
        <f>AM38/POWER((1+'Вхідні дані'!$B$13/12),AM1)</f>
        <v>-91399.744667391598</v>
      </c>
      <c r="AN40" s="83">
        <f>AN38/POWER((1+'Вхідні дані'!$B$13/12),AN1)</f>
        <v>-89534.443755812215</v>
      </c>
      <c r="AO40" s="83">
        <f>AO38/POWER((1+'Вхідні дані'!$B$13/12),AO1)</f>
        <v>-66042.975350918379</v>
      </c>
      <c r="AP40" s="83">
        <f>AP38/POWER((1+'Вхідні дані'!$B$13/12),AP1)</f>
        <v>-40441.322251042409</v>
      </c>
      <c r="AQ40" s="83">
        <f>AQ38/POWER((1+'Вхідні дані'!$B$13/12),AQ1)</f>
        <v>-38131.060331038207</v>
      </c>
      <c r="AR40" s="83">
        <f>AR38/POWER((1+'Вхідні дані'!$B$13/12),AR1)</f>
        <v>-37352.875426323153</v>
      </c>
      <c r="AS40" s="83">
        <f>AS38/POWER((1+'Вхідні дані'!$B$13/12),AS1)</f>
        <v>-40865.385654753285</v>
      </c>
      <c r="AT40" s="83">
        <f>AT38/POWER((1+'Вхідні дані'!$B$13/12),AT1)</f>
        <v>-35843.825481986067</v>
      </c>
      <c r="AU40" s="83">
        <f>AU38/POWER((1+'Вхідні дані'!$B$13/12),AU1)</f>
        <v>-58357.620415735051</v>
      </c>
      <c r="AV40" s="83">
        <f>AV38/POWER((1+'Вхідні дані'!$B$13/12),AV1)</f>
        <v>-75919.160766473084</v>
      </c>
      <c r="AW40" s="83">
        <f>AW38/POWER((1+'Вхідні дані'!$B$13/12),AW1)</f>
        <v>-74369.790138585886</v>
      </c>
      <c r="AX40" s="83">
        <f>AX38/POWER((1+'Вхідні дані'!$B$13/12),AX1)</f>
        <v>-72852.039319431075</v>
      </c>
      <c r="AY40" s="83">
        <f>AY38/POWER((1+'Вхідні дані'!$B$13/12),AY1)</f>
        <v>-71365.263006789639</v>
      </c>
      <c r="AZ40" s="83">
        <f>AZ38/POWER((1+'Вхідні дані'!$B$13/12),AZ1)</f>
        <v>-69908.829067875573</v>
      </c>
      <c r="BA40" s="83">
        <f>BA38/POWER((1+'Вхідні дані'!$B$13/12),BA1)</f>
        <v>-51566.602541623062</v>
      </c>
      <c r="BB40" s="83">
        <f>BB38/POWER((1+'Вхідні дані'!$B$13/12),BB1)</f>
        <v>-31576.735901075677</v>
      </c>
      <c r="BC40" s="83">
        <f>BC38/POWER((1+'Вхідні дані'!$B$13/12),BC1)</f>
        <v>-29772.874740022664</v>
      </c>
      <c r="BD40" s="83">
        <f>BD38/POWER((1+'Вхідні дані'!$B$13/12),BD1)</f>
        <v>-29165.26505145078</v>
      </c>
      <c r="BE40" s="83">
        <f>BE38/POWER((1+'Вхідні дані'!$B$13/12),BE1)</f>
        <v>-30795.249316984653</v>
      </c>
      <c r="BF40" s="83">
        <f>BF38/POWER((1+'Вхідні дані'!$B$13/12),BF1)</f>
        <v>-27986.99320222516</v>
      </c>
      <c r="BG40" s="83">
        <f>BG38/POWER((1+'Вхідні дані'!$B$13/12),BG1)</f>
        <v>-46633.496769648118</v>
      </c>
      <c r="BH40" s="83">
        <f>BH38/POWER((1+'Вхідні дані'!$B$13/12),BH1)</f>
        <v>-59277.965108879078</v>
      </c>
      <c r="BI40" s="83">
        <f>BI38/POWER((1+'Вхідні дані'!$B$13/12),BI1)</f>
        <v>-58068.210718901959</v>
      </c>
      <c r="BJ40" s="83">
        <f>BJ38/POWER((1+'Вхідні дані'!$B$13/12),BJ1)</f>
        <v>-56883.145194026401</v>
      </c>
      <c r="BK40" s="83">
        <f>BK38/POWER((1+'Вхідні дані'!$B$13/12),BK1)</f>
        <v>-55722.264679862616</v>
      </c>
      <c r="BL40" s="83">
        <f>BL38/POWER((1+'Вхідні дані'!$B$13/12),BL1)</f>
        <v>-54585.075604763384</v>
      </c>
      <c r="BM40" s="83">
        <f>BM38/POWER((1+'Вхідні дані'!$B$13/12),BM1)</f>
        <v>13853.595750962982</v>
      </c>
      <c r="BN40" s="83">
        <f>BN38/POWER((1+'Вхідні дані'!$B$13/12),BN1)</f>
        <v>28357.330091341519</v>
      </c>
      <c r="BO40" s="83">
        <f>BO38/POWER((1+'Вхідні дані'!$B$13/12),BO1)</f>
        <v>28683.90258647388</v>
      </c>
      <c r="BP40" s="83">
        <f>BP38/POWER((1+'Вхідні дані'!$B$13/12),BP1)</f>
        <v>28098.51681940299</v>
      </c>
      <c r="BQ40" s="83">
        <f>BQ38/POWER((1+'Вхідні дані'!$B$13/12),BQ1)</f>
        <v>25787.638080397861</v>
      </c>
      <c r="BR40" s="83">
        <f>BR38/POWER((1+'Вхідні дані'!$B$13/12),BR1)</f>
        <v>26963.341421034776</v>
      </c>
      <c r="BS40" s="83">
        <f>BS38/POWER((1+'Вхідні дані'!$B$13/12),BS1)</f>
        <v>11407.843005805818</v>
      </c>
      <c r="BT40" s="83">
        <f>BT38/POWER((1+'Вхідні дані'!$B$13/12),BT1)</f>
        <v>559.08757916794252</v>
      </c>
      <c r="BU40" s="83">
        <f>BU38/POWER((1+'Вхідні дані'!$B$13/12),BU1)</f>
        <v>547.67762857267849</v>
      </c>
      <c r="BV40" s="83">
        <f>BV38/POWER((1+'Вхідні дані'!$B$13/12),BV1)</f>
        <v>536.50053411201156</v>
      </c>
      <c r="BW40" s="83">
        <f>BW38/POWER((1+'Вхідні дані'!$B$13/12),BW1)</f>
        <v>525.55154361992982</v>
      </c>
      <c r="BX40" s="83">
        <f>BX38/POWER((1+'Вхідні дані'!$B$13/12),BX1)</f>
        <v>514.82600191340077</v>
      </c>
      <c r="BY40" s="83">
        <f>BY38/POWER((1+'Вхідні дані'!$B$13/12),BY1)</f>
        <v>10816.939455958236</v>
      </c>
      <c r="BZ40" s="83">
        <f>BZ38/POWER((1+'Вхідні дані'!$B$13/12),BZ1)</f>
        <v>22141.509557859146</v>
      </c>
      <c r="CA40" s="83">
        <f>CA38/POWER((1+'Вхідні дані'!$B$13/12),CA1)</f>
        <v>22396.498585352783</v>
      </c>
      <c r="CB40" s="83">
        <f>CB38/POWER((1+'Вхідні дані'!$B$13/12),CB1)</f>
        <v>21939.427185651712</v>
      </c>
      <c r="CC40" s="83">
        <f>CC38/POWER((1+'Вхідні дані'!$B$13/12),CC1)</f>
        <v>20135.084410012249</v>
      </c>
      <c r="CD40" s="83">
        <f>CD38/POWER((1+'Вхідні дані'!$B$13/12),CD1)</f>
        <v>21053.077982399645</v>
      </c>
      <c r="CE40" s="83">
        <f>CE38/POWER((1+'Вхідні дані'!$B$13/12),CE1)</f>
        <v>8907.2865510963529</v>
      </c>
      <c r="CF40" s="83">
        <f>CF38/POWER((1+'Вхідні дані'!$B$13/12),CF1)</f>
        <v>436.53767607716668</v>
      </c>
      <c r="CG40" s="83">
        <f>CG38/POWER((1+'Вхідні дані'!$B$13/12),CG1)</f>
        <v>427.62874391232663</v>
      </c>
      <c r="CH40" s="83">
        <f>CH38/POWER((1+'Вхідні дані'!$B$13/12),CH1)</f>
        <v>418.90162668962608</v>
      </c>
      <c r="CI40" s="83">
        <f>CI38/POWER((1+'Вхідні дані'!$B$13/12),CI1)</f>
        <v>410.35261390004189</v>
      </c>
      <c r="CJ40" s="83">
        <f>CJ38/POWER((1+'Вхідні дані'!$B$13/12),CJ1)</f>
        <v>401.97807075922481</v>
      </c>
      <c r="CK40" s="83">
        <f>CK38/POWER((1+'Вхідні дані'!$B$13/12),CK1)</f>
        <v>8445.9068459344053</v>
      </c>
      <c r="CL40" s="83">
        <f>CL38/POWER((1+'Вхідні дані'!$B$13/12),CL1)</f>
        <v>17288.17360173331</v>
      </c>
      <c r="CM40" s="83">
        <f>CM38/POWER((1+'Вхідні дані'!$B$13/12),CM1)</f>
        <v>17487.2699895531</v>
      </c>
      <c r="CN40" s="83">
        <f>CN38/POWER((1+'Вхідні дані'!$B$13/12),CN1)</f>
        <v>17130.386928541815</v>
      </c>
      <c r="CO40" s="83">
        <f>CO38/POWER((1+'Вхідні дані'!$B$13/12),CO1)</f>
        <v>15721.549330510201</v>
      </c>
      <c r="CP40" s="83">
        <f>CP38/POWER((1+'Вхідні дані'!$B$13/12),CP1)</f>
        <v>16438.3221505041</v>
      </c>
      <c r="CQ40" s="83">
        <f>CQ38/POWER((1+'Вхідні дані'!$B$13/12),CQ1)</f>
        <v>6954.8427045291028</v>
      </c>
      <c r="CR40" s="83">
        <f>CR38/POWER((1+'Вхідні дані'!$B$13/12),CR1)</f>
        <v>340.85025268931975</v>
      </c>
      <c r="CS40" s="83">
        <f>CS38/POWER((1+'Вхідні дані'!$B$13/12),CS1)</f>
        <v>333.89412508341536</v>
      </c>
      <c r="CT40" s="83">
        <f>CT38/POWER((1+'Вхідні дані'!$B$13/12),CT1)</f>
        <v>327.07995926538649</v>
      </c>
      <c r="CU40" s="83">
        <f>CU38/POWER((1+'Вхідні дані'!$B$13/12),CU1)</f>
        <v>320.40485805588884</v>
      </c>
      <c r="CV40" s="83">
        <f>CV38/POWER((1+'Вхідні дані'!$B$13/12),CV1)</f>
        <v>313.86598340168712</v>
      </c>
      <c r="CW40" s="83">
        <f>CW38/POWER((1+'Вхідні дані'!$B$13/12),CW1)</f>
        <v>6594.5957024756663</v>
      </c>
      <c r="CX40" s="83">
        <f>CX38/POWER((1+'Вхідні дані'!$B$13/12),CX1)</f>
        <v>13498.670707281586</v>
      </c>
      <c r="CY40" s="83">
        <f>CY38/POWER((1+'Вхідні дані'!$B$13/12),CY1)</f>
        <v>13654.125912678128</v>
      </c>
      <c r="CZ40" s="83">
        <f>CZ38/POWER((1+'Вхідні дані'!$B$13/12),CZ1)</f>
        <v>13375.470281807151</v>
      </c>
      <c r="DA40" s="83">
        <f>DA38/POWER((1+'Вхідні дані'!$B$13/12),DA1)</f>
        <v>12275.444607958085</v>
      </c>
      <c r="DB40" s="83">
        <f>DB38/POWER((1+'Вхідні дані'!$B$13/12),DB1)</f>
        <v>12835.103510738727</v>
      </c>
      <c r="DC40" s="83">
        <f>DC38/POWER((1+'Вхідні дані'!$B$13/12),DC1)</f>
        <v>5430.3672355514473</v>
      </c>
      <c r="DD40" s="83">
        <f>DD38/POWER((1+'Вхідні дані'!$B$13/12),DD1)</f>
        <v>266.13715407656184</v>
      </c>
      <c r="DE40" s="83">
        <f>DE38/POWER((1+'Вхідні дані'!$B$13/12),DE1)</f>
        <v>260.70578358520351</v>
      </c>
      <c r="DF40" s="83">
        <f>DF38/POWER((1+'Вхідні дані'!$B$13/12),DF1)</f>
        <v>255.38525738958705</v>
      </c>
      <c r="DG40" s="83">
        <f>DG38/POWER((1+'Вхідні дані'!$B$13/12),DG1)</f>
        <v>250.17331336122822</v>
      </c>
      <c r="DH40" s="83">
        <f>DH38/POWER((1+'Вхідні дані'!$B$13/12),DH1)</f>
        <v>245.06773553752973</v>
      </c>
      <c r="DI40" s="83">
        <f>DI38/POWER((1+'Вхідні дані'!$B$13/12),DI1)</f>
        <v>5149.08502691391</v>
      </c>
      <c r="DJ40" s="83">
        <f>DJ38/POWER((1+'Вхідні дані'!$B$13/12),DJ1)</f>
        <v>10539.812652352888</v>
      </c>
      <c r="DK40" s="83">
        <f>DK38/POWER((1+'Вхідні дані'!$B$13/12),DK1)</f>
        <v>10661.192659039678</v>
      </c>
      <c r="DL40" s="83">
        <f>DL38/POWER((1+'Вхідні дані'!$B$13/12),DL1)</f>
        <v>10443.617298651114</v>
      </c>
      <c r="DM40" s="83">
        <f>DM38/POWER((1+'Вхідні дані'!$B$13/12),DM1)</f>
        <v>9584.7131319694872</v>
      </c>
      <c r="DN40" s="83">
        <f>DN38/POWER((1+'Вхідні дані'!$B$13/12),DN1)</f>
        <v>10021.696899663544</v>
      </c>
      <c r="DO40" s="83">
        <f>DO38/POWER((1+'Вхідні дані'!$B$13/12),DO1)</f>
        <v>4240.0510789046375</v>
      </c>
      <c r="DP40" s="83">
        <f>DP38/POWER((1+'Вхідні дані'!$B$13/12),DP1)</f>
        <v>207.80088681504148</v>
      </c>
      <c r="DQ40" s="83">
        <f>DQ38/POWER((1+'Вхідні дані'!$B$13/12),DQ1)</f>
        <v>203.56005239024472</v>
      </c>
      <c r="DR40" s="83">
        <f>DR38/POWER((1+'Вхідні дані'!$B$13/12),DR1)</f>
        <v>199.40576560677033</v>
      </c>
      <c r="DS40" s="83">
        <f>DS38/POWER((1+'Вхідні дані'!$B$13/12),DS1)</f>
        <v>195.33626018622402</v>
      </c>
      <c r="DT40" s="83">
        <f>DT38/POWER((1+'Вхідні дані'!$B$13/12),DT1)</f>
        <v>191.34980589670928</v>
      </c>
      <c r="DU40" s="83">
        <f>DU38/POWER((1+'Вхідні дані'!$B$13/12),DU1)</f>
        <v>4020.424876757158</v>
      </c>
      <c r="DV40" s="83">
        <f>DV38/POWER((1+'Вхідні дані'!$B$13/12),DV1)</f>
        <v>8229.5251996016177</v>
      </c>
      <c r="DW40" s="83">
        <f>DW38/POWER((1+'Вхідні дані'!$B$13/12),DW1)</f>
        <v>8324.2991634949667</v>
      </c>
      <c r="DX40" s="83">
        <f>DX38/POWER((1+'Вхідні дані'!$B$13/12),DX1)</f>
        <v>8154.415507097111</v>
      </c>
      <c r="DY40" s="83">
        <f>DY38/POWER((1+'Вхідні дані'!$B$13/12),DY1)</f>
        <v>7483.7799164188127</v>
      </c>
      <c r="DZ40" s="83">
        <f>DZ38/POWER((1+'Вхідні дані'!$B$13/12),DZ1)</f>
        <v>7824.9784791135971</v>
      </c>
      <c r="EA40" s="83">
        <f>EA38/POWER((1+'Вхідні дані'!$B$13/12),EA1)</f>
        <v>3310.6477650391789</v>
      </c>
      <c r="EB40" s="83">
        <f>EB38/POWER((1+'Вхідні дані'!$B$13/12),EB1)</f>
        <v>162.25171081785666</v>
      </c>
      <c r="EC40" s="83">
        <f>EC38/POWER((1+'Вхідні дані'!$B$13/12),EC1)</f>
        <v>158.94045141341061</v>
      </c>
      <c r="ED40" s="83">
        <f>ED38/POWER((1+'Вхідні дані'!$B$13/12),ED1)</f>
        <v>155.69676873150425</v>
      </c>
      <c r="EE40" s="83">
        <f>EE38/POWER((1+'Вхідні дані'!$B$13/12),EE1)</f>
        <v>152.51928365535113</v>
      </c>
      <c r="EF40" s="83">
        <f>EF38/POWER((1+'Вхідні дані'!$B$13/12),EF1)</f>
        <v>149.40664521340526</v>
      </c>
      <c r="EG40" s="83">
        <f>EG38/POWER((1+'Вхідні дані'!$B$13/12),EG1)</f>
        <v>3139.1628037137989</v>
      </c>
      <c r="EH40" s="83">
        <f>EH38/POWER((1+'Вхідні дані'!$B$13/12),EH1)</f>
        <v>6425.6441024840451</v>
      </c>
      <c r="EI40" s="83">
        <f>EI38/POWER((1+'Вхідні дані'!$B$13/12),EI1)</f>
        <v>6499.6439685018086</v>
      </c>
      <c r="EJ40" s="83">
        <f>EJ38/POWER((1+'Вхідні дані'!$B$13/12),EJ1)</f>
        <v>6366.9981732262622</v>
      </c>
      <c r="EK40" s="83">
        <f>EK38/POWER((1+'Вхідні дані'!$B$13/12),EK1)</f>
        <v>5843.3633919187678</v>
      </c>
      <c r="EL40" s="83">
        <f>EL38/POWER((1+'Вхідні дані'!$B$13/12),EL1)</f>
        <v>6109.7725077523155</v>
      </c>
      <c r="EM40" s="83">
        <f>EM38/POWER((1+'Вхідні дані'!$B$13/12),EM1)</f>
        <v>2584.9661761599305</v>
      </c>
      <c r="EN40" s="83">
        <f>EN38/POWER((1+'Вхідні дані'!$B$13/12),EN1)</f>
        <v>126.6867435784967</v>
      </c>
      <c r="EO40" s="83">
        <f>EO38/POWER((1+'Вхідні дані'!$B$13/12),EO1)</f>
        <v>124.1012998319968</v>
      </c>
      <c r="EP40" s="83">
        <f>EP38/POWER((1+'Вхідні дані'!$B$13/12),EP1)</f>
        <v>121.56862024358871</v>
      </c>
      <c r="EQ40" s="83">
        <f>EQ38/POWER((1+'Вхідні дані'!$B$13/12),EQ1)</f>
        <v>119.08762799371958</v>
      </c>
      <c r="ER40" s="83">
        <f>ER38/POWER((1+'Вхідні дані'!$B$13/12),ER1)</f>
        <v>116.65726823874571</v>
      </c>
      <c r="ES40" s="83">
        <f>ES38/POWER((1+'Вхідні дані'!$B$13/12),ES1)</f>
        <v>2451.0700759987117</v>
      </c>
      <c r="ET40" s="83">
        <f>ET38/POWER((1+'Вхідні дані'!$B$13/12),ET1)</f>
        <v>5017.1669847717012</v>
      </c>
      <c r="EU40" s="83">
        <f>EU38/POWER((1+'Вхідні дані'!$B$13/12),EU1)</f>
        <v>5074.9463573513822</v>
      </c>
      <c r="EV40" s="83">
        <f>EV38/POWER((1+'Вхідні дані'!$B$13/12),EV1)</f>
        <v>4971.3760235278851</v>
      </c>
      <c r="EW40" s="83">
        <f>EW38/POWER((1+'Вхідні дані'!$B$13/12),EW1)</f>
        <v>4562.5200248213123</v>
      </c>
      <c r="EX40" s="83">
        <f>EX38/POWER((1+'Вхідні дані'!$B$13/12),EX1)</f>
        <v>4770.5332603949391</v>
      </c>
      <c r="EY40" s="83">
        <f>EY38/POWER((1+'Вхідні дані'!$B$13/12),EY1)</f>
        <v>2018.3512732626257</v>
      </c>
      <c r="EZ40" s="83">
        <f>EZ38/POWER((1+'Вхідні дані'!$B$13/12),EZ1)</f>
        <v>98.917483936677513</v>
      </c>
      <c r="FA40" s="83">
        <f>FA38/POWER((1+'Вхідні дані'!$B$13/12),FA1)</f>
        <v>96.898759774704516</v>
      </c>
      <c r="FB40" s="83">
        <f>FB38/POWER((1+'Вхідні дані'!$B$13/12),FB1)</f>
        <v>94.921234065016662</v>
      </c>
      <c r="FC40" s="83">
        <f>FC38/POWER((1+'Вхідні дані'!$B$13/12),FC1)</f>
        <v>92.984066022873478</v>
      </c>
      <c r="FD40" s="83">
        <f>FD38/POWER((1+'Вхідні дані'!$B$13/12),FD1)</f>
        <v>91.086432022406697</v>
      </c>
      <c r="FE40" s="83">
        <f>FE38/POWER((1+'Вхідні дані'!$B$13/12),FE1)</f>
        <v>1913.8046967009309</v>
      </c>
      <c r="FF40" s="83">
        <f>FF38/POWER((1+'Вхідні дані'!$B$13/12),FF1)</f>
        <v>3917.4227753062323</v>
      </c>
      <c r="FG40" s="83">
        <f>FG38/POWER((1+'Вхідні дані'!$B$13/12),FG1)</f>
        <v>3962.537125849788</v>
      </c>
      <c r="FH40" s="83">
        <f>FH38/POWER((1+'Вхідні дані'!$B$13/12),FH1)</f>
        <v>3881.6690212406093</v>
      </c>
      <c r="FI40" s="83">
        <f>FI38/POWER((1+'Вхідні дані'!$B$13/12),FI1)</f>
        <v>3562.4327259338888</v>
      </c>
      <c r="FJ40" s="83">
        <f>FJ38/POWER((1+'Вхідні дані'!$B$13/12),FJ1)</f>
        <v>3724.8502394578777</v>
      </c>
      <c r="FK40" s="83">
        <f>FK38/POWER((1+'Вхідні дані'!$B$13/12),FK1)</f>
        <v>1575.9362346212852</v>
      </c>
      <c r="FL40" s="83">
        <f>FL38/POWER((1+'Вхідні дані'!$B$13/12),FL1)</f>
        <v>77.235141988633956</v>
      </c>
      <c r="FM40" s="83">
        <f>FM38/POWER((1+'Вхідні дані'!$B$13/12),FM1)</f>
        <v>75.658914601110823</v>
      </c>
      <c r="FN40" s="83">
        <f>FN38/POWER((1+'Вхідні дані'!$B$13/12),FN1)</f>
        <v>74.114855119455498</v>
      </c>
      <c r="FO40" s="83">
        <f>FO38/POWER((1+'Вхідні дані'!$B$13/12),FO1)</f>
        <v>72.602307055793133</v>
      </c>
      <c r="FP40" s="83">
        <f>FP38/POWER((1+'Вхідні дані'!$B$13/12),FP1)</f>
        <v>71.120627319960661</v>
      </c>
      <c r="FQ40" s="83">
        <f>FQ38/POWER((1+'Вхідні дані'!$B$13/12),FQ1)</f>
        <v>1494.3058760252547</v>
      </c>
      <c r="FR40" s="83">
        <f>FR38/POWER((1+'Вхідні дані'!$B$13/12),FR1)</f>
        <v>3058.738377069641</v>
      </c>
      <c r="FS40" s="83">
        <f>FS38/POWER((1+'Вхідні дані'!$B$13/12),FS1)</f>
        <v>3093.9638309660136</v>
      </c>
      <c r="FT40" s="83">
        <f>FT38/POWER((1+'Вхідні дані'!$B$13/12),FT1)</f>
        <v>3030.8217119667074</v>
      </c>
      <c r="FU40" s="83">
        <f>FU38/POWER((1+'Вхідні дані'!$B$13/12),FU1)</f>
        <v>2781.5608167773007</v>
      </c>
      <c r="FV40" s="83">
        <f>FV38/POWER((1+'Вхідні дані'!$B$13/12),FV1)</f>
        <v>2908.3770197298186</v>
      </c>
      <c r="FW40" s="83">
        <f>FW38/POWER((1+'Вхідні дані'!$B$13/12),FW1)</f>
        <v>1230.4969152260912</v>
      </c>
      <c r="FX40" s="83">
        <f>FX38/POWER((1+'Вхідні дані'!$B$13/12),FX1)</f>
        <v>60.305488176621438</v>
      </c>
      <c r="FY40" s="83">
        <f>FY38/POWER((1+'Вхідні дані'!$B$13/12),FY1)</f>
        <v>59.074763928118976</v>
      </c>
      <c r="FZ40" s="83">
        <f>FZ38/POWER((1+'Вхідні дані'!$B$13/12),FZ1)</f>
        <v>57.869156501014501</v>
      </c>
      <c r="GA40" s="83">
        <f>GA38/POWER((1+'Вхідні дані'!$B$13/12),GA1)</f>
        <v>56.688153307116252</v>
      </c>
      <c r="GB40" s="83">
        <f>GB38/POWER((1+'Вхідні дані'!$B$13/12),GB1)</f>
        <v>55.531252219215936</v>
      </c>
      <c r="GC40" s="83">
        <f>GC38/POWER((1+'Вхідні дані'!$B$13/12),GC1)</f>
        <v>1166.7596254585558</v>
      </c>
      <c r="GD40" s="83">
        <f>GD38/POWER((1+'Вхідні дані'!$B$13/12),GD1)</f>
        <v>2388.274382416449</v>
      </c>
      <c r="GE40" s="83">
        <f>GE38/POWER((1+'Вхідні дані'!$B$13/12),GE1)</f>
        <v>2415.7785487682945</v>
      </c>
      <c r="GF40" s="83">
        <f>GF38/POWER((1+'Вхідні дані'!$B$13/12),GF1)</f>
        <v>2366.4769457322072</v>
      </c>
      <c r="GG40" s="83">
        <f>GG38/POWER((1+'Вхідні дані'!$B$13/12),GG1)</f>
        <v>2171.8531050723304</v>
      </c>
      <c r="GH40" s="83">
        <f>GH38/POWER((1+'Вхідні дані'!$B$13/12),GH1)</f>
        <v>2270.8716713731801</v>
      </c>
      <c r="GI40" s="83">
        <f>GI38/POWER((1+'Вхідні дані'!$B$13/12),GI1)</f>
        <v>960.77660067558929</v>
      </c>
      <c r="GJ40" s="83">
        <f>GJ38/POWER((1+'Вхідні дані'!$B$13/12),GJ1)</f>
        <v>47.086751064118182</v>
      </c>
      <c r="GK40" s="83">
        <f>GK38/POWER((1+'Вхідні дані'!$B$13/12),GK1)</f>
        <v>46.125796960768831</v>
      </c>
      <c r="GL40" s="83">
        <f>GL38/POWER((1+'Вхідні дані'!$B$13/12),GL1)</f>
        <v>45.184454165651104</v>
      </c>
      <c r="GM40" s="83">
        <f>GM38/POWER((1+'Вхідні дані'!$B$13/12),GM1)</f>
        <v>44.262322447984765</v>
      </c>
      <c r="GN40" s="83">
        <f>GN38/POWER((1+'Вхідні дані'!$B$13/12),GN1)</f>
        <v>43.359009744964673</v>
      </c>
      <c r="GO40" s="83">
        <f>GO38/POWER((1+'Вхідні дані'!$B$13/12),GO1)</f>
        <v>911.01028607424303</v>
      </c>
      <c r="GP40" s="83">
        <f>GP38/POWER((1+'Вхідні дані'!$B$13/12),GP1)</f>
        <v>1864.7735839281315</v>
      </c>
      <c r="GQ40" s="83">
        <f>GQ38/POWER((1+'Вхідні дані'!$B$13/12),GQ1)</f>
        <v>1886.2489400423613</v>
      </c>
      <c r="GR40" s="83">
        <f>GR38/POWER((1+'Вхідні дані'!$B$13/12),GR1)</f>
        <v>1847.7540637149666</v>
      </c>
      <c r="GS40" s="83">
        <f>GS38/POWER((1+'Вхідні дані'!$B$13/12),GS1)</f>
        <v>1695.7910398944102</v>
      </c>
      <c r="GT40" s="83">
        <f>GT38/POWER((1+'Вхідні дані'!$B$13/12),GT1)</f>
        <v>1773.1051073716301</v>
      </c>
      <c r="GU40" s="83">
        <f>GU38/POWER((1+'Вхідні дані'!$B$13/12),GU1)</f>
        <v>750.17796874048418</v>
      </c>
      <c r="GV40" s="83">
        <f>GV38/POWER((1+'Вхідні дані'!$B$13/12),GV1)</f>
        <v>36.765511611159788</v>
      </c>
      <c r="GW40" s="83">
        <f>GW38/POWER((1+'Вхідні дані'!$B$13/12),GW1)</f>
        <v>36.01519504766673</v>
      </c>
      <c r="GX40" s="83">
        <f>GX38/POWER((1+'Вхідні дані'!$B$13/12),GX1)</f>
        <v>35.280191067102095</v>
      </c>
      <c r="GY40" s="83">
        <f>GY38/POWER((1+'Вхідні дані'!$B$13/12),GY1)</f>
        <v>34.560187167773492</v>
      </c>
      <c r="GZ40" s="83">
        <f>GZ38/POWER((1+'Вхідні дані'!$B$13/12),GZ1)</f>
        <v>33.854877225574043</v>
      </c>
      <c r="HA40" s="83">
        <f>HA38/POWER((1+'Вхідні дані'!$B$13/12),HA1)</f>
        <v>711.32024388219133</v>
      </c>
      <c r="HB40" s="83">
        <f>HB38/POWER((1+'Вхідні дані'!$B$13/12),HB1)</f>
        <v>1456.0221995086531</v>
      </c>
      <c r="HC40" s="83">
        <f>HC38/POWER((1+'Вхідні дані'!$B$13/12),HC1)</f>
        <v>1472.7902380062844</v>
      </c>
      <c r="HD40" s="83">
        <f>HD38/POWER((1+'Вхідні дані'!$B$13/12),HD1)</f>
        <v>1442.7332943735034</v>
      </c>
      <c r="HE40" s="83">
        <f>HE38/POWER((1+'Вхідні дані'!$B$13/12),HE1)</f>
        <v>1324.0799961424618</v>
      </c>
      <c r="HF40" s="83">
        <f>HF38/POWER((1+'Вхідні дані'!$B$13/12),HF1)</f>
        <v>1384.4471096362149</v>
      </c>
      <c r="HG40" s="83">
        <f>HG38/POWER((1+'Вхідні дані'!$B$13/12),HG1)</f>
        <v>585.74176805292484</v>
      </c>
      <c r="HH40" s="83">
        <f>HH38/POWER((1+'Вхідні дані'!$B$13/12),HH1)</f>
        <v>28.706649184389612</v>
      </c>
      <c r="HI40" s="83">
        <f>HI38/POWER((1+'Вхідні дані'!$B$13/12),HI1)</f>
        <v>28.120799201034721</v>
      </c>
      <c r="HJ40" s="83">
        <f>HJ38/POWER((1+'Вхідні дані'!$B$13/12),HJ1)</f>
        <v>27.546905339789113</v>
      </c>
      <c r="HK40" s="83">
        <f>HK38/POWER((1+'Вхідні дані'!$B$13/12),HK1)</f>
        <v>26.98472359816077</v>
      </c>
      <c r="HL40" s="83">
        <f>HL38/POWER((1+'Вхідні дані'!$B$13/12),HL1)</f>
        <v>26.434014953300348</v>
      </c>
      <c r="HM40" s="83">
        <f>HM38/POWER((1+'Вхідні дані'!$B$13/12),HM1)</f>
        <v>555.40151092803967</v>
      </c>
      <c r="HN40" s="83">
        <f>HN38/POWER((1+'Вхідні дані'!$B$13/12),HN1)</f>
        <v>1136.8675874291666</v>
      </c>
      <c r="HO40" s="83">
        <f>HO38/POWER((1+'Вхідні дані'!$B$13/12),HO1)</f>
        <v>1149.9601346988131</v>
      </c>
      <c r="HP40" s="83">
        <f>HP38/POWER((1+'Вхідні дані'!$B$13/12),HP1)</f>
        <v>1126.4915605212864</v>
      </c>
      <c r="HQ40" s="83">
        <f>HQ38/POWER((1+'Вхідні дані'!$B$13/12),HQ1)</f>
        <v>1033.84662080405</v>
      </c>
      <c r="HR40" s="83">
        <f>HR38/POWER((1+'Вхідні дані'!$B$13/12),HR1)</f>
        <v>1080.9814891466242</v>
      </c>
      <c r="HS40" s="83">
        <f>HS38/POWER((1+'Вхідні дані'!$B$13/12),HS1)</f>
        <v>457.3493666013751</v>
      </c>
      <c r="HT40" s="83">
        <f>HT38/POWER((1+'Вхідні дані'!$B$13/12),HT1)</f>
        <v>22.414259214210919</v>
      </c>
      <c r="HU40" s="83">
        <f>HU38/POWER((1+'Вхідні дані'!$B$13/12),HU1)</f>
        <v>21.956825352696409</v>
      </c>
      <c r="HV40" s="83">
        <f>HV38/POWER((1+'Вхідні дані'!$B$13/12),HV1)</f>
        <v>21.508726876110771</v>
      </c>
      <c r="HW40" s="83">
        <f>HW38/POWER((1+'Вхідні дані'!$B$13/12),HW1)</f>
        <v>21.069773266394225</v>
      </c>
      <c r="HX40" s="83">
        <f>HX38/POWER((1+'Вхідні дані'!$B$13/12),HX1)</f>
        <v>20.639777893610677</v>
      </c>
      <c r="HY40" s="83">
        <f>HY38/POWER((1+'Вхідні дані'!$B$13/12),HY1)</f>
        <v>433.6595801879613</v>
      </c>
      <c r="HZ40" s="83">
        <f>HZ38/POWER((1+'Вхідні дані'!$B$13/12),HZ1)</f>
        <v>887.67047080955808</v>
      </c>
      <c r="IA40" s="83">
        <f>IA38/POWER((1+'Вхідні дані'!$B$13/12),IA1)</f>
        <v>897.89318076052427</v>
      </c>
      <c r="IB40" s="83">
        <f>IB38/POWER((1+'Вхідні дані'!$B$13/12),IB1)</f>
        <v>879.56883013275876</v>
      </c>
      <c r="IC40" s="83">
        <f>IC38/POWER((1+'Вхідні дані'!$B$13/12),IC1)</f>
        <v>807.23131416672607</v>
      </c>
      <c r="ID40" s="83">
        <f>ID38/POWER((1+'Вхідні дані'!$B$13/12),ID1)</f>
        <v>844.03439592914458</v>
      </c>
      <c r="IE40" s="83">
        <f>IE38/POWER((1+'Вхідні дані'!$B$13/12),IE1)</f>
        <v>357.10009860826494</v>
      </c>
      <c r="IF40" s="83">
        <f>IF38/POWER((1+'Вхідні дані'!$B$13/12),IF1)</f>
        <v>17.501137555094335</v>
      </c>
      <c r="IG40" s="83">
        <f>IG38/POWER((1+'Вхідні дані'!$B$13/12),IG1)</f>
        <v>17.143971482541392</v>
      </c>
    </row>
    <row r="41" spans="1:241" ht="30" outlineLevel="1" x14ac:dyDescent="0.25">
      <c r="A41" s="94" t="s">
        <v>312</v>
      </c>
      <c r="B41" s="83">
        <f>B40</f>
        <v>0</v>
      </c>
      <c r="C41" s="83">
        <f t="shared" ref="C41:BN41" si="225">B41+C40</f>
        <v>1030.8167547788421</v>
      </c>
      <c r="D41" s="83">
        <f t="shared" si="225"/>
        <v>2040.5964329295448</v>
      </c>
      <c r="E41" s="83">
        <f t="shared" si="225"/>
        <v>-163219.60251617312</v>
      </c>
      <c r="F41" s="83">
        <f t="shared" si="225"/>
        <v>-302462.14685427462</v>
      </c>
      <c r="G41" s="83">
        <f t="shared" si="225"/>
        <v>-437476.57819631748</v>
      </c>
      <c r="H41" s="83">
        <f t="shared" si="225"/>
        <v>-569270.69401785149</v>
      </c>
      <c r="I41" s="83">
        <f t="shared" si="225"/>
        <v>-701035.96788755083</v>
      </c>
      <c r="J41" s="83">
        <f t="shared" si="225"/>
        <v>-827505.6233864323</v>
      </c>
      <c r="K41" s="83">
        <f t="shared" si="225"/>
        <v>-974374.29522946943</v>
      </c>
      <c r="L41" s="83">
        <f t="shared" si="225"/>
        <v>-1134503.6274502345</v>
      </c>
      <c r="M41" s="83">
        <f t="shared" si="225"/>
        <v>-1291365.0141154737</v>
      </c>
      <c r="N41" s="83">
        <f t="shared" si="225"/>
        <v>-1445025.1479916265</v>
      </c>
      <c r="O41" s="83">
        <f t="shared" si="225"/>
        <v>-1595549.360768266</v>
      </c>
      <c r="P41" s="83">
        <f t="shared" si="225"/>
        <v>-1743001.6508351781</v>
      </c>
      <c r="Q41" s="83">
        <f t="shared" si="225"/>
        <v>-1863754.5327166449</v>
      </c>
      <c r="R41" s="83">
        <f t="shared" si="225"/>
        <v>-1955521.1217726828</v>
      </c>
      <c r="S41" s="83">
        <f t="shared" si="225"/>
        <v>-2043791.1305440727</v>
      </c>
      <c r="T41" s="83">
        <f t="shared" si="225"/>
        <v>-2129715.1948638558</v>
      </c>
      <c r="U41" s="83">
        <f t="shared" si="225"/>
        <v>-2218560.2822391661</v>
      </c>
      <c r="V41" s="83">
        <f t="shared" si="225"/>
        <v>-2301013.0286751431</v>
      </c>
      <c r="W41" s="83">
        <f t="shared" si="225"/>
        <v>-2407202.1648229011</v>
      </c>
      <c r="X41" s="83">
        <f t="shared" si="225"/>
        <v>-2531730.3394992971</v>
      </c>
      <c r="Y41" s="83">
        <f t="shared" si="225"/>
        <v>-2653717.1228557667</v>
      </c>
      <c r="Z41" s="83">
        <f t="shared" si="225"/>
        <v>-2773214.3800212876</v>
      </c>
      <c r="AA41" s="83">
        <f t="shared" si="225"/>
        <v>-2890272.9176528184</v>
      </c>
      <c r="AB41" s="83">
        <f t="shared" si="225"/>
        <v>-3004942.5055367672</v>
      </c>
      <c r="AC41" s="83">
        <f t="shared" si="225"/>
        <v>-3089525.8284283886</v>
      </c>
      <c r="AD41" s="83">
        <f t="shared" si="225"/>
        <v>-3141320.3061900036</v>
      </c>
      <c r="AE41" s="83">
        <f t="shared" si="225"/>
        <v>-3190155.9585972852</v>
      </c>
      <c r="AF41" s="83">
        <f t="shared" si="225"/>
        <v>-3237994.9650370711</v>
      </c>
      <c r="AG41" s="83">
        <f t="shared" si="225"/>
        <v>-3290332.5541835385</v>
      </c>
      <c r="AH41" s="83">
        <f t="shared" si="225"/>
        <v>-3336238.8727330039</v>
      </c>
      <c r="AI41" s="83">
        <f t="shared" si="225"/>
        <v>-3410979.3190042842</v>
      </c>
      <c r="AJ41" s="83">
        <f t="shared" si="225"/>
        <v>-3508211.3842565082</v>
      </c>
      <c r="AK41" s="83">
        <f t="shared" si="225"/>
        <v>-3603459.121646442</v>
      </c>
      <c r="AL41" s="83">
        <f t="shared" si="225"/>
        <v>-3696763.0276610707</v>
      </c>
      <c r="AM41" s="83">
        <f t="shared" si="225"/>
        <v>-3788162.7723284625</v>
      </c>
      <c r="AN41" s="83">
        <f t="shared" si="225"/>
        <v>-3877697.2160842745</v>
      </c>
      <c r="AO41" s="83">
        <f t="shared" si="225"/>
        <v>-3943740.1914351927</v>
      </c>
      <c r="AP41" s="83">
        <f t="shared" si="225"/>
        <v>-3984181.5136862351</v>
      </c>
      <c r="AQ41" s="83">
        <f t="shared" si="225"/>
        <v>-4022312.5740172733</v>
      </c>
      <c r="AR41" s="83">
        <f t="shared" si="225"/>
        <v>-4059665.4494435964</v>
      </c>
      <c r="AS41" s="83">
        <f t="shared" si="225"/>
        <v>-4100530.8350983495</v>
      </c>
      <c r="AT41" s="83">
        <f t="shared" si="225"/>
        <v>-4136374.6605803357</v>
      </c>
      <c r="AU41" s="83">
        <f t="shared" si="225"/>
        <v>-4194732.2809960702</v>
      </c>
      <c r="AV41" s="83">
        <f t="shared" si="225"/>
        <v>-4270651.4417625433</v>
      </c>
      <c r="AW41" s="83">
        <f t="shared" si="225"/>
        <v>-4345021.2319011288</v>
      </c>
      <c r="AX41" s="83">
        <f t="shared" si="225"/>
        <v>-4417873.2712205602</v>
      </c>
      <c r="AY41" s="83">
        <f t="shared" si="225"/>
        <v>-4489238.5342273498</v>
      </c>
      <c r="AZ41" s="83">
        <f t="shared" si="225"/>
        <v>-4559147.3632952254</v>
      </c>
      <c r="BA41" s="83">
        <f t="shared" si="225"/>
        <v>-4610713.9658368481</v>
      </c>
      <c r="BB41" s="83">
        <f t="shared" si="225"/>
        <v>-4642290.7017379235</v>
      </c>
      <c r="BC41" s="83">
        <f t="shared" si="225"/>
        <v>-4672063.5764779458</v>
      </c>
      <c r="BD41" s="83">
        <f t="shared" si="225"/>
        <v>-4701228.8415293964</v>
      </c>
      <c r="BE41" s="83">
        <f t="shared" si="225"/>
        <v>-4732024.0908463812</v>
      </c>
      <c r="BF41" s="83">
        <f t="shared" si="225"/>
        <v>-4760011.0840486065</v>
      </c>
      <c r="BG41" s="83">
        <f t="shared" si="225"/>
        <v>-4806644.5808182545</v>
      </c>
      <c r="BH41" s="83">
        <f t="shared" si="225"/>
        <v>-4865922.5459271334</v>
      </c>
      <c r="BI41" s="83">
        <f t="shared" si="225"/>
        <v>-4923990.7566460352</v>
      </c>
      <c r="BJ41" s="83">
        <f t="shared" si="225"/>
        <v>-4980873.9018400619</v>
      </c>
      <c r="BK41" s="83">
        <f t="shared" si="225"/>
        <v>-5036596.1665199241</v>
      </c>
      <c r="BL41" s="83">
        <f t="shared" si="225"/>
        <v>-5091181.2421246879</v>
      </c>
      <c r="BM41" s="83">
        <f t="shared" si="225"/>
        <v>-5077327.6463737246</v>
      </c>
      <c r="BN41" s="83">
        <f t="shared" si="225"/>
        <v>-5048970.3162823832</v>
      </c>
      <c r="BO41" s="83">
        <f t="shared" ref="BO41:DZ41" si="226">BN41+BO40</f>
        <v>-5020286.4136959091</v>
      </c>
      <c r="BP41" s="83">
        <f t="shared" si="226"/>
        <v>-4992187.8968765065</v>
      </c>
      <c r="BQ41" s="83">
        <f t="shared" si="226"/>
        <v>-4966400.2587961089</v>
      </c>
      <c r="BR41" s="83">
        <f t="shared" si="226"/>
        <v>-4939436.9173750738</v>
      </c>
      <c r="BS41" s="83">
        <f t="shared" si="226"/>
        <v>-4928029.0743692676</v>
      </c>
      <c r="BT41" s="83">
        <f t="shared" si="226"/>
        <v>-4927469.9867900992</v>
      </c>
      <c r="BU41" s="83">
        <f t="shared" si="226"/>
        <v>-4926922.3091615262</v>
      </c>
      <c r="BV41" s="83">
        <f t="shared" si="226"/>
        <v>-4926385.8086274145</v>
      </c>
      <c r="BW41" s="83">
        <f t="shared" si="226"/>
        <v>-4925860.257083795</v>
      </c>
      <c r="BX41" s="83">
        <f t="shared" si="226"/>
        <v>-4925345.4310818817</v>
      </c>
      <c r="BY41" s="83">
        <f t="shared" si="226"/>
        <v>-4914528.4916259237</v>
      </c>
      <c r="BZ41" s="83">
        <f t="shared" si="226"/>
        <v>-4892386.9820680646</v>
      </c>
      <c r="CA41" s="83">
        <f t="shared" si="226"/>
        <v>-4869990.4834827119</v>
      </c>
      <c r="CB41" s="83">
        <f t="shared" si="226"/>
        <v>-4848051.0562970601</v>
      </c>
      <c r="CC41" s="83">
        <f t="shared" si="226"/>
        <v>-4827915.9718870474</v>
      </c>
      <c r="CD41" s="83">
        <f t="shared" si="226"/>
        <v>-4806862.8939046478</v>
      </c>
      <c r="CE41" s="83">
        <f t="shared" si="226"/>
        <v>-4797955.6073535513</v>
      </c>
      <c r="CF41" s="83">
        <f t="shared" si="226"/>
        <v>-4797519.069677474</v>
      </c>
      <c r="CG41" s="83">
        <f t="shared" si="226"/>
        <v>-4797091.4409335619</v>
      </c>
      <c r="CH41" s="83">
        <f t="shared" si="226"/>
        <v>-4796672.5393068725</v>
      </c>
      <c r="CI41" s="83">
        <f t="shared" si="226"/>
        <v>-4796262.1866929727</v>
      </c>
      <c r="CJ41" s="83">
        <f t="shared" si="226"/>
        <v>-4795860.2086222135</v>
      </c>
      <c r="CK41" s="83">
        <f t="shared" si="226"/>
        <v>-4787414.3017762788</v>
      </c>
      <c r="CL41" s="83">
        <f t="shared" si="226"/>
        <v>-4770126.1281745452</v>
      </c>
      <c r="CM41" s="83">
        <f t="shared" si="226"/>
        <v>-4752638.8581849923</v>
      </c>
      <c r="CN41" s="83">
        <f t="shared" si="226"/>
        <v>-4735508.4712564507</v>
      </c>
      <c r="CO41" s="83">
        <f t="shared" si="226"/>
        <v>-4719786.9219259406</v>
      </c>
      <c r="CP41" s="83">
        <f t="shared" si="226"/>
        <v>-4703348.5997754363</v>
      </c>
      <c r="CQ41" s="83">
        <f t="shared" si="226"/>
        <v>-4696393.7570709074</v>
      </c>
      <c r="CR41" s="83">
        <f t="shared" si="226"/>
        <v>-4696052.9068182185</v>
      </c>
      <c r="CS41" s="83">
        <f t="shared" si="226"/>
        <v>-4695719.0126931351</v>
      </c>
      <c r="CT41" s="83">
        <f t="shared" si="226"/>
        <v>-4695391.9327338701</v>
      </c>
      <c r="CU41" s="83">
        <f t="shared" si="226"/>
        <v>-4695071.5278758146</v>
      </c>
      <c r="CV41" s="83">
        <f t="shared" si="226"/>
        <v>-4694757.6618924132</v>
      </c>
      <c r="CW41" s="83">
        <f t="shared" si="226"/>
        <v>-4688163.0661899373</v>
      </c>
      <c r="CX41" s="83">
        <f t="shared" si="226"/>
        <v>-4674664.3954826556</v>
      </c>
      <c r="CY41" s="83">
        <f t="shared" si="226"/>
        <v>-4661010.2695699772</v>
      </c>
      <c r="CZ41" s="83">
        <f t="shared" si="226"/>
        <v>-4647634.7992881704</v>
      </c>
      <c r="DA41" s="83">
        <f t="shared" si="226"/>
        <v>-4635359.3546802122</v>
      </c>
      <c r="DB41" s="83">
        <f t="shared" si="226"/>
        <v>-4622524.2511694739</v>
      </c>
      <c r="DC41" s="83">
        <f t="shared" si="226"/>
        <v>-4617093.8839339223</v>
      </c>
      <c r="DD41" s="83">
        <f t="shared" si="226"/>
        <v>-4616827.746779846</v>
      </c>
      <c r="DE41" s="83">
        <f t="shared" si="226"/>
        <v>-4616567.0409962609</v>
      </c>
      <c r="DF41" s="83">
        <f t="shared" si="226"/>
        <v>-4616311.6557388715</v>
      </c>
      <c r="DG41" s="83">
        <f t="shared" si="226"/>
        <v>-4616061.48242551</v>
      </c>
      <c r="DH41" s="83">
        <f t="shared" si="226"/>
        <v>-4615816.4146899721</v>
      </c>
      <c r="DI41" s="83">
        <f t="shared" si="226"/>
        <v>-4610667.3296630578</v>
      </c>
      <c r="DJ41" s="83">
        <f t="shared" si="226"/>
        <v>-4600127.5170107046</v>
      </c>
      <c r="DK41" s="83">
        <f t="shared" si="226"/>
        <v>-4589466.3243516646</v>
      </c>
      <c r="DL41" s="83">
        <f t="shared" si="226"/>
        <v>-4579022.7070530131</v>
      </c>
      <c r="DM41" s="83">
        <f t="shared" si="226"/>
        <v>-4569437.9939210434</v>
      </c>
      <c r="DN41" s="83">
        <f t="shared" si="226"/>
        <v>-4559416.2970213797</v>
      </c>
      <c r="DO41" s="83">
        <f t="shared" si="226"/>
        <v>-4555176.2459424753</v>
      </c>
      <c r="DP41" s="83">
        <f t="shared" si="226"/>
        <v>-4554968.4450556599</v>
      </c>
      <c r="DQ41" s="83">
        <f t="shared" si="226"/>
        <v>-4554764.8850032697</v>
      </c>
      <c r="DR41" s="83">
        <f t="shared" si="226"/>
        <v>-4554565.4792376626</v>
      </c>
      <c r="DS41" s="83">
        <f t="shared" si="226"/>
        <v>-4554370.1429774761</v>
      </c>
      <c r="DT41" s="83">
        <f t="shared" si="226"/>
        <v>-4554178.793171579</v>
      </c>
      <c r="DU41" s="83">
        <f t="shared" si="226"/>
        <v>-4550158.3682948221</v>
      </c>
      <c r="DV41" s="83">
        <f t="shared" si="226"/>
        <v>-4541928.8430952206</v>
      </c>
      <c r="DW41" s="83">
        <f t="shared" si="226"/>
        <v>-4533604.5439317254</v>
      </c>
      <c r="DX41" s="83">
        <f t="shared" si="226"/>
        <v>-4525450.1284246286</v>
      </c>
      <c r="DY41" s="83">
        <f t="shared" si="226"/>
        <v>-4517966.3485082099</v>
      </c>
      <c r="DZ41" s="83">
        <f t="shared" si="226"/>
        <v>-4510141.3700290965</v>
      </c>
      <c r="EA41" s="83">
        <f t="shared" ref="EA41:GL41" si="227">DZ41+EA40</f>
        <v>-4506830.722264057</v>
      </c>
      <c r="EB41" s="83">
        <f t="shared" si="227"/>
        <v>-4506668.4705532389</v>
      </c>
      <c r="EC41" s="83">
        <f t="shared" si="227"/>
        <v>-4506509.5301018255</v>
      </c>
      <c r="ED41" s="83">
        <f t="shared" si="227"/>
        <v>-4506353.8333330937</v>
      </c>
      <c r="EE41" s="83">
        <f t="shared" si="227"/>
        <v>-4506201.3140494386</v>
      </c>
      <c r="EF41" s="83">
        <f t="shared" si="227"/>
        <v>-4506051.9074042253</v>
      </c>
      <c r="EG41" s="83">
        <f t="shared" si="227"/>
        <v>-4502912.7446005112</v>
      </c>
      <c r="EH41" s="83">
        <f t="shared" si="227"/>
        <v>-4496487.1004980272</v>
      </c>
      <c r="EI41" s="83">
        <f t="shared" si="227"/>
        <v>-4489987.4565295251</v>
      </c>
      <c r="EJ41" s="83">
        <f t="shared" si="227"/>
        <v>-4483620.4583562985</v>
      </c>
      <c r="EK41" s="83">
        <f t="shared" si="227"/>
        <v>-4477777.0949643794</v>
      </c>
      <c r="EL41" s="83">
        <f t="shared" si="227"/>
        <v>-4471667.3224566272</v>
      </c>
      <c r="EM41" s="83">
        <f t="shared" si="227"/>
        <v>-4469082.3562804675</v>
      </c>
      <c r="EN41" s="83">
        <f t="shared" si="227"/>
        <v>-4468955.6695368886</v>
      </c>
      <c r="EO41" s="83">
        <f t="shared" si="227"/>
        <v>-4468831.568237057</v>
      </c>
      <c r="EP41" s="83">
        <f t="shared" si="227"/>
        <v>-4468709.9996168129</v>
      </c>
      <c r="EQ41" s="83">
        <f t="shared" si="227"/>
        <v>-4468590.911988819</v>
      </c>
      <c r="ER41" s="83">
        <f t="shared" si="227"/>
        <v>-4468474.2547205798</v>
      </c>
      <c r="ES41" s="83">
        <f t="shared" si="227"/>
        <v>-4466023.1846445808</v>
      </c>
      <c r="ET41" s="83">
        <f t="shared" si="227"/>
        <v>-4461006.0176598094</v>
      </c>
      <c r="EU41" s="83">
        <f t="shared" si="227"/>
        <v>-4455931.0713024577</v>
      </c>
      <c r="EV41" s="83">
        <f t="shared" si="227"/>
        <v>-4450959.6952789295</v>
      </c>
      <c r="EW41" s="83">
        <f t="shared" si="227"/>
        <v>-4446397.1752541084</v>
      </c>
      <c r="EX41" s="83">
        <f t="shared" si="227"/>
        <v>-4441626.6419937136</v>
      </c>
      <c r="EY41" s="83">
        <f t="shared" si="227"/>
        <v>-4439608.2907204507</v>
      </c>
      <c r="EZ41" s="83">
        <f t="shared" si="227"/>
        <v>-4439509.3732365137</v>
      </c>
      <c r="FA41" s="83">
        <f t="shared" si="227"/>
        <v>-4439412.4744767388</v>
      </c>
      <c r="FB41" s="83">
        <f t="shared" si="227"/>
        <v>-4439317.5532426741</v>
      </c>
      <c r="FC41" s="83">
        <f t="shared" si="227"/>
        <v>-4439224.5691766515</v>
      </c>
      <c r="FD41" s="83">
        <f t="shared" si="227"/>
        <v>-4439133.4827446295</v>
      </c>
      <c r="FE41" s="83">
        <f t="shared" si="227"/>
        <v>-4437219.678047929</v>
      </c>
      <c r="FF41" s="83">
        <f t="shared" si="227"/>
        <v>-4433302.2552726232</v>
      </c>
      <c r="FG41" s="83">
        <f t="shared" si="227"/>
        <v>-4429339.7181467731</v>
      </c>
      <c r="FH41" s="83">
        <f t="shared" si="227"/>
        <v>-4425458.0491255326</v>
      </c>
      <c r="FI41" s="83">
        <f t="shared" si="227"/>
        <v>-4421895.6163995983</v>
      </c>
      <c r="FJ41" s="83">
        <f t="shared" si="227"/>
        <v>-4418170.7661601407</v>
      </c>
      <c r="FK41" s="83">
        <f t="shared" si="227"/>
        <v>-4416594.8299255194</v>
      </c>
      <c r="FL41" s="83">
        <f t="shared" si="227"/>
        <v>-4416517.5947835306</v>
      </c>
      <c r="FM41" s="83">
        <f t="shared" si="227"/>
        <v>-4416441.9358689291</v>
      </c>
      <c r="FN41" s="83">
        <f t="shared" si="227"/>
        <v>-4416367.8210138101</v>
      </c>
      <c r="FO41" s="83">
        <f t="shared" si="227"/>
        <v>-4416295.218706754</v>
      </c>
      <c r="FP41" s="83">
        <f t="shared" si="227"/>
        <v>-4416224.0980794337</v>
      </c>
      <c r="FQ41" s="83">
        <f t="shared" si="227"/>
        <v>-4414729.7922034087</v>
      </c>
      <c r="FR41" s="83">
        <f t="shared" si="227"/>
        <v>-4411671.0538263386</v>
      </c>
      <c r="FS41" s="83">
        <f t="shared" si="227"/>
        <v>-4408577.089995373</v>
      </c>
      <c r="FT41" s="83">
        <f t="shared" si="227"/>
        <v>-4405546.2682834063</v>
      </c>
      <c r="FU41" s="83">
        <f t="shared" si="227"/>
        <v>-4402764.7074666293</v>
      </c>
      <c r="FV41" s="83">
        <f t="shared" si="227"/>
        <v>-4399856.3304468999</v>
      </c>
      <c r="FW41" s="83">
        <f t="shared" si="227"/>
        <v>-4398625.833531674</v>
      </c>
      <c r="FX41" s="83">
        <f t="shared" si="227"/>
        <v>-4398565.5280434974</v>
      </c>
      <c r="FY41" s="83">
        <f t="shared" si="227"/>
        <v>-4398506.4532795688</v>
      </c>
      <c r="FZ41" s="83">
        <f t="shared" si="227"/>
        <v>-4398448.5841230676</v>
      </c>
      <c r="GA41" s="83">
        <f t="shared" si="227"/>
        <v>-4398391.8959697606</v>
      </c>
      <c r="GB41" s="83">
        <f t="shared" si="227"/>
        <v>-4398336.3647175413</v>
      </c>
      <c r="GC41" s="83">
        <f t="shared" si="227"/>
        <v>-4397169.6050920831</v>
      </c>
      <c r="GD41" s="83">
        <f t="shared" si="227"/>
        <v>-4394781.3307096669</v>
      </c>
      <c r="GE41" s="83">
        <f t="shared" si="227"/>
        <v>-4392365.5521608982</v>
      </c>
      <c r="GF41" s="83">
        <f t="shared" si="227"/>
        <v>-4389999.0752151664</v>
      </c>
      <c r="GG41" s="83">
        <f t="shared" si="227"/>
        <v>-4387827.2221100945</v>
      </c>
      <c r="GH41" s="83">
        <f t="shared" si="227"/>
        <v>-4385556.3504387215</v>
      </c>
      <c r="GI41" s="83">
        <f t="shared" si="227"/>
        <v>-4384595.5738380458</v>
      </c>
      <c r="GJ41" s="83">
        <f t="shared" si="227"/>
        <v>-4384548.4870869815</v>
      </c>
      <c r="GK41" s="83">
        <f t="shared" si="227"/>
        <v>-4384502.3612900209</v>
      </c>
      <c r="GL41" s="83">
        <f t="shared" si="227"/>
        <v>-4384457.1768358555</v>
      </c>
      <c r="GM41" s="83">
        <f t="shared" ref="GM41:IG41" si="228">GL41+GM40</f>
        <v>-4384412.9145134073</v>
      </c>
      <c r="GN41" s="83">
        <f t="shared" si="228"/>
        <v>-4384369.5555036627</v>
      </c>
      <c r="GO41" s="83">
        <f t="shared" si="228"/>
        <v>-4383458.5452175885</v>
      </c>
      <c r="GP41" s="83">
        <f t="shared" si="228"/>
        <v>-4381593.7716336604</v>
      </c>
      <c r="GQ41" s="83">
        <f t="shared" si="228"/>
        <v>-4379707.5226936182</v>
      </c>
      <c r="GR41" s="83">
        <f t="shared" si="228"/>
        <v>-4377859.768629903</v>
      </c>
      <c r="GS41" s="83">
        <f t="shared" si="228"/>
        <v>-4376163.9775900086</v>
      </c>
      <c r="GT41" s="83">
        <f t="shared" si="228"/>
        <v>-4374390.8724826369</v>
      </c>
      <c r="GU41" s="83">
        <f t="shared" si="228"/>
        <v>-4373640.6945138965</v>
      </c>
      <c r="GV41" s="83">
        <f t="shared" si="228"/>
        <v>-4373603.929002285</v>
      </c>
      <c r="GW41" s="83">
        <f t="shared" si="228"/>
        <v>-4373567.9138072375</v>
      </c>
      <c r="GX41" s="83">
        <f t="shared" si="228"/>
        <v>-4373532.6336161708</v>
      </c>
      <c r="GY41" s="83">
        <f t="shared" si="228"/>
        <v>-4373498.0734290034</v>
      </c>
      <c r="GZ41" s="83">
        <f t="shared" si="228"/>
        <v>-4373464.2185517782</v>
      </c>
      <c r="HA41" s="83">
        <f t="shared" si="228"/>
        <v>-4372752.8983078962</v>
      </c>
      <c r="HB41" s="83">
        <f t="shared" si="228"/>
        <v>-4371296.8761083875</v>
      </c>
      <c r="HC41" s="83">
        <f t="shared" si="228"/>
        <v>-4369824.0858703814</v>
      </c>
      <c r="HD41" s="83">
        <f t="shared" si="228"/>
        <v>-4368381.3525760081</v>
      </c>
      <c r="HE41" s="83">
        <f t="shared" si="228"/>
        <v>-4367057.2725798655</v>
      </c>
      <c r="HF41" s="83">
        <f t="shared" si="228"/>
        <v>-4365672.8254702296</v>
      </c>
      <c r="HG41" s="83">
        <f t="shared" si="228"/>
        <v>-4365087.0837021768</v>
      </c>
      <c r="HH41" s="83">
        <f t="shared" si="228"/>
        <v>-4365058.3770529926</v>
      </c>
      <c r="HI41" s="83">
        <f t="shared" si="228"/>
        <v>-4365030.256253792</v>
      </c>
      <c r="HJ41" s="83">
        <f t="shared" si="228"/>
        <v>-4365002.7093484523</v>
      </c>
      <c r="HK41" s="83">
        <f t="shared" si="228"/>
        <v>-4364975.7246248545</v>
      </c>
      <c r="HL41" s="83">
        <f t="shared" si="228"/>
        <v>-4364949.2906099008</v>
      </c>
      <c r="HM41" s="83">
        <f t="shared" si="228"/>
        <v>-4364393.889098973</v>
      </c>
      <c r="HN41" s="83">
        <f t="shared" si="228"/>
        <v>-4363257.0215115435</v>
      </c>
      <c r="HO41" s="83">
        <f t="shared" si="228"/>
        <v>-4362107.0613768445</v>
      </c>
      <c r="HP41" s="83">
        <f t="shared" si="228"/>
        <v>-4360980.569816323</v>
      </c>
      <c r="HQ41" s="83">
        <f t="shared" si="228"/>
        <v>-4359946.7231955193</v>
      </c>
      <c r="HR41" s="83">
        <f t="shared" si="228"/>
        <v>-4358865.7417063722</v>
      </c>
      <c r="HS41" s="83">
        <f t="shared" si="228"/>
        <v>-4358408.3923397707</v>
      </c>
      <c r="HT41" s="83">
        <f t="shared" si="228"/>
        <v>-4358385.9780805567</v>
      </c>
      <c r="HU41" s="83">
        <f t="shared" si="228"/>
        <v>-4358364.0212552045</v>
      </c>
      <c r="HV41" s="83">
        <f t="shared" si="228"/>
        <v>-4358342.5125283282</v>
      </c>
      <c r="HW41" s="83">
        <f t="shared" si="228"/>
        <v>-4358321.4427550621</v>
      </c>
      <c r="HX41" s="83">
        <f t="shared" si="228"/>
        <v>-4358300.8029771689</v>
      </c>
      <c r="HY41" s="83">
        <f t="shared" si="228"/>
        <v>-4357867.1433969811</v>
      </c>
      <c r="HZ41" s="83">
        <f t="shared" si="228"/>
        <v>-4356979.4729261715</v>
      </c>
      <c r="IA41" s="83">
        <f t="shared" si="228"/>
        <v>-4356081.5797454109</v>
      </c>
      <c r="IB41" s="83">
        <f t="shared" si="228"/>
        <v>-4355202.0109152785</v>
      </c>
      <c r="IC41" s="83">
        <f t="shared" si="228"/>
        <v>-4354394.779601112</v>
      </c>
      <c r="ID41" s="83">
        <f t="shared" si="228"/>
        <v>-4353550.7452051826</v>
      </c>
      <c r="IE41" s="83">
        <f t="shared" si="228"/>
        <v>-4353193.6451065745</v>
      </c>
      <c r="IF41" s="83">
        <f t="shared" si="228"/>
        <v>-4353176.1439690199</v>
      </c>
      <c r="IG41" s="83">
        <f t="shared" si="228"/>
        <v>-4353158.9999975376</v>
      </c>
    </row>
    <row r="42" spans="1:241" x14ac:dyDescent="0.25">
      <c r="A42" s="95" t="s">
        <v>311</v>
      </c>
      <c r="B42" s="83">
        <f>NPV('Вхідні дані'!B13/12,B38:IG38)</f>
        <v>-4353158.9999975339</v>
      </c>
    </row>
    <row r="43" spans="1:241" x14ac:dyDescent="0.25">
      <c r="A43" s="95" t="s">
        <v>310</v>
      </c>
      <c r="B43" s="82">
        <f>IRR(B38:IG38,0)*12</f>
        <v>5.1534391178948979E-3</v>
      </c>
    </row>
    <row r="44" spans="1:241" x14ac:dyDescent="0.25">
      <c r="A44" s="95" t="s">
        <v>309</v>
      </c>
      <c r="B44" s="86">
        <f>(COUNTIF(B39:IG39,"&lt;0")+ABS(INDEX(B39:IG39,,COUNTIF(B39:IG39,"&lt;0")))/INDEX(B38:IG38,,COUNTIF(B39:IG39,"&lt;0")+1))/12</f>
        <v>24.981058168095458</v>
      </c>
      <c r="C44" s="96">
        <f>(COUNTIF(B39:IG39,"&lt;0")+ABS(INDEX(B39:IG39,,COUNTIF(B39:IG39,"&lt;0")))/INDEX(B38:IG38,,COUNTIF(B39:IG39,"&lt;0")+1))</f>
        <v>299.7726980171455</v>
      </c>
    </row>
    <row r="45" spans="1:241" x14ac:dyDescent="0.25">
      <c r="A45" s="95" t="s">
        <v>308</v>
      </c>
      <c r="B45">
        <f>IFERROR(((COUNTIF(B41:IG41,"&lt;0")+ABS(INDEX(B41:IG41,,COUNTIF(B41:IG41,"&lt;0")))/INDEX(B40:IG40,,COUNTIF(B41:IG41,"&lt;0")+1))/12), "більше 20")</f>
        <v>1035.7001407244036</v>
      </c>
      <c r="C45">
        <f>IFERROR(((COUNTIF(B41:IG41,"&lt;0")+ABS(INDEX(B41:IG41,,COUNTIF(B41:IG41,"&lt;0")))/INDEX(B40:IG40,,COUNTIF(B41:IG41,"&lt;0")+1))), "більше 240")</f>
        <v>12428.401688692844</v>
      </c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workbookViewId="0">
      <selection activeCell="D11" sqref="D11"/>
    </sheetView>
  </sheetViews>
  <sheetFormatPr defaultRowHeight="15" x14ac:dyDescent="0.25"/>
  <cols>
    <col min="1" max="1" width="9.140625" style="154"/>
    <col min="2" max="2" width="20" style="154" customWidth="1"/>
    <col min="3" max="3" width="47.140625" style="154" customWidth="1"/>
    <col min="4" max="4" width="23.5703125" style="154" customWidth="1"/>
    <col min="5" max="5" width="27.140625" style="154" customWidth="1"/>
    <col min="6" max="6" width="21.85546875" style="154" customWidth="1"/>
    <col min="7" max="7" width="10.28515625" style="154" customWidth="1"/>
    <col min="8" max="8" width="6.7109375" style="154" customWidth="1"/>
    <col min="9" max="9" width="21.140625" style="154" customWidth="1"/>
    <col min="10" max="10" width="14" style="154" customWidth="1"/>
    <col min="11" max="11" width="14.42578125" style="154" customWidth="1"/>
    <col min="12" max="16384" width="9.140625" style="154"/>
  </cols>
  <sheetData>
    <row r="2" spans="1:12" x14ac:dyDescent="0.25">
      <c r="A2" s="223" t="s">
        <v>203</v>
      </c>
      <c r="B2" s="224"/>
      <c r="C2" s="225"/>
      <c r="D2" s="225"/>
      <c r="E2" s="226" t="s">
        <v>202</v>
      </c>
      <c r="F2" s="226" t="s">
        <v>201</v>
      </c>
      <c r="G2" s="226" t="s">
        <v>200</v>
      </c>
      <c r="H2" s="227" t="s">
        <v>199</v>
      </c>
      <c r="J2" s="226" t="s">
        <v>198</v>
      </c>
      <c r="K2" s="226" t="s">
        <v>197</v>
      </c>
      <c r="L2" s="225"/>
    </row>
    <row r="3" spans="1:12" x14ac:dyDescent="0.25">
      <c r="A3" s="228" t="s">
        <v>196</v>
      </c>
      <c r="B3" s="229">
        <f>H3</f>
        <v>10</v>
      </c>
      <c r="C3" s="230">
        <f>SUM(B3:B3)</f>
        <v>10</v>
      </c>
      <c r="D3" s="225"/>
      <c r="E3" s="231">
        <f>'Калькулятор новий'!B13/10</f>
        <v>880.1</v>
      </c>
      <c r="F3" s="228">
        <f>G3*1163</f>
        <v>1566041.139</v>
      </c>
      <c r="G3" s="229">
        <f>'Калькулятор новий'!B13*VLOOKUP(Регіони!H2,Регіони!A1:F27,6,0)</f>
        <v>1346.5529999999999</v>
      </c>
      <c r="H3" s="229">
        <f>'Калькулятор новий'!B17</f>
        <v>10</v>
      </c>
      <c r="J3" s="228">
        <f>'Калькулятор новий'!B13*B3*6.5</f>
        <v>572065</v>
      </c>
      <c r="K3" s="228">
        <f>SUM(J3:J3)</f>
        <v>572065</v>
      </c>
      <c r="L3" s="225"/>
    </row>
    <row r="4" spans="1:12" x14ac:dyDescent="0.25">
      <c r="A4" s="291" t="s">
        <v>195</v>
      </c>
      <c r="B4" s="292"/>
      <c r="C4" s="232"/>
      <c r="D4" s="225"/>
      <c r="E4" s="233" t="s">
        <v>194</v>
      </c>
      <c r="F4" s="228"/>
      <c r="G4" s="228"/>
      <c r="J4" s="228"/>
      <c r="K4" s="228"/>
      <c r="L4" s="225"/>
    </row>
    <row r="5" spans="1:12" x14ac:dyDescent="0.25">
      <c r="H5" s="225"/>
      <c r="I5" s="225" t="s">
        <v>193</v>
      </c>
      <c r="J5" s="225">
        <f>J3*ОСББ!H25</f>
        <v>308915.10000000003</v>
      </c>
      <c r="K5" s="225"/>
      <c r="L5" s="225"/>
    </row>
    <row r="6" spans="1:12" x14ac:dyDescent="0.25">
      <c r="L6" s="225"/>
    </row>
    <row r="7" spans="1:12" x14ac:dyDescent="0.25">
      <c r="B7" s="226" t="s">
        <v>77</v>
      </c>
      <c r="C7" s="226" t="s">
        <v>192</v>
      </c>
      <c r="D7" s="234" t="s">
        <v>191</v>
      </c>
      <c r="I7" s="154" t="s">
        <v>190</v>
      </c>
      <c r="J7" s="154">
        <f>J5/6.5</f>
        <v>47525.400000000009</v>
      </c>
      <c r="L7" s="225"/>
    </row>
    <row r="8" spans="1:12" x14ac:dyDescent="0.25">
      <c r="B8" s="231" t="e">
        <f>#REF!</f>
        <v>#REF!</v>
      </c>
      <c r="C8" s="235" t="e">
        <f>VLOOKUP(#REF!,Регіони!B2:F27,5,0)</f>
        <v>#REF!</v>
      </c>
      <c r="D8" s="231" t="e">
        <f>VLOOKUP(#REF!,ОСББ!B1:G10,6,0)</f>
        <v>#REF!</v>
      </c>
      <c r="I8" s="154" t="s">
        <v>189</v>
      </c>
      <c r="J8" s="236">
        <f>J7/'Калькулятор новий'!B13</f>
        <v>5.4000000000000012</v>
      </c>
      <c r="L8" s="225"/>
    </row>
    <row r="9" spans="1:12" x14ac:dyDescent="0.25">
      <c r="I9" s="154" t="s">
        <v>188</v>
      </c>
      <c r="J9" s="236">
        <f>J7/'Калькулятор новий'!B16</f>
        <v>284.58323353293417</v>
      </c>
      <c r="K9" s="225"/>
      <c r="L9" s="225"/>
    </row>
    <row r="10" spans="1:12" x14ac:dyDescent="0.25">
      <c r="K10" s="225"/>
      <c r="L10" s="225"/>
    </row>
    <row r="11" spans="1:12" x14ac:dyDescent="0.25">
      <c r="I11" s="237" t="s">
        <v>187</v>
      </c>
      <c r="J11" s="236">
        <f>(J3/'Калькулятор новий'!B16)/6.5</f>
        <v>527.00598802395211</v>
      </c>
      <c r="K11" s="225"/>
      <c r="L11" s="225"/>
    </row>
    <row r="12" spans="1:12" x14ac:dyDescent="0.25">
      <c r="I12" s="238" t="s">
        <v>186</v>
      </c>
      <c r="J12" s="239">
        <f>((J3-J5)/6.5)/'Калькулятор новий'!B16</f>
        <v>242.42275449101791</v>
      </c>
      <c r="K12" s="225"/>
      <c r="L12" s="225"/>
    </row>
    <row r="13" spans="1:12" x14ac:dyDescent="0.25">
      <c r="J13" s="225"/>
      <c r="K13" s="225"/>
      <c r="L13" s="225"/>
    </row>
    <row r="14" spans="1:12" x14ac:dyDescent="0.25">
      <c r="J14" s="225"/>
      <c r="K14" s="225"/>
      <c r="L14" s="225"/>
    </row>
    <row r="15" spans="1:12" x14ac:dyDescent="0.25">
      <c r="J15" s="225"/>
      <c r="K15" s="225"/>
      <c r="L15" s="225"/>
    </row>
    <row r="16" spans="1:12" x14ac:dyDescent="0.25">
      <c r="L16" s="225"/>
    </row>
    <row r="17" spans="2:12" x14ac:dyDescent="0.25">
      <c r="L17" s="225"/>
    </row>
    <row r="18" spans="2:12" x14ac:dyDescent="0.25">
      <c r="B18" s="234" t="s">
        <v>185</v>
      </c>
      <c r="C18" s="234" t="s">
        <v>184</v>
      </c>
      <c r="D18" s="234" t="s">
        <v>183</v>
      </c>
      <c r="E18" s="234" t="s">
        <v>182</v>
      </c>
      <c r="F18" s="234" t="s">
        <v>99</v>
      </c>
      <c r="L18" s="225"/>
    </row>
    <row r="19" spans="2:12" x14ac:dyDescent="0.25">
      <c r="B19" s="228" t="s">
        <v>181</v>
      </c>
      <c r="C19" s="240" t="e">
        <f>IF(#REF!="Власні кошти",(#REF!-(IF(#REF!="Газовий котел",0,IF((#REF!-3000)&lt;25000,(#REF!-3000)*0.2,5000)))),0)</f>
        <v>#REF!</v>
      </c>
      <c r="D19" s="228">
        <v>0</v>
      </c>
      <c r="E19" s="228">
        <v>0</v>
      </c>
      <c r="F19" s="228"/>
      <c r="L19" s="225"/>
    </row>
    <row r="20" spans="2:12" x14ac:dyDescent="0.25">
      <c r="B20" s="228" t="s">
        <v>180</v>
      </c>
      <c r="C20" s="228" t="e">
        <f>IF(#REF!="Кредитні кошти",(#REF!-(IF(#REF!="Газовий котел",0,IF((#REF!-3000)&lt;25000,(#REF!-3000)*0.2,5000)))))</f>
        <v>#REF!</v>
      </c>
      <c r="D20" s="228"/>
      <c r="E20" s="228"/>
      <c r="F20" s="240" t="e">
        <f>SUM(C19+E23)</f>
        <v>#REF!</v>
      </c>
      <c r="L20" s="225"/>
    </row>
    <row r="22" spans="2:12" x14ac:dyDescent="0.25">
      <c r="B22" s="234" t="s">
        <v>179</v>
      </c>
      <c r="C22" s="234" t="s">
        <v>90</v>
      </c>
      <c r="D22" s="234" t="s">
        <v>178</v>
      </c>
      <c r="E22" s="234" t="s">
        <v>99</v>
      </c>
      <c r="H22" s="225"/>
    </row>
    <row r="23" spans="2:12" x14ac:dyDescent="0.25">
      <c r="C23" s="231" t="e">
        <f>C20</f>
        <v>#REF!</v>
      </c>
      <c r="D23" s="235" t="e">
        <f>C20*(0.03)+C20*#REF!*0.0208</f>
        <v>#REF!</v>
      </c>
      <c r="E23" s="241" t="e">
        <f>D23+C23</f>
        <v>#REF!</v>
      </c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17.28515625" customWidth="1"/>
    <col min="3" max="3" width="6.140625" customWidth="1"/>
    <col min="4" max="4" width="6.5703125" customWidth="1"/>
    <col min="5" max="5" width="10.7109375" customWidth="1"/>
    <col min="6" max="6" width="14.140625" style="76" customWidth="1"/>
  </cols>
  <sheetData>
    <row r="1" spans="1:8" ht="17.25" customHeight="1" x14ac:dyDescent="0.25">
      <c r="B1" s="46" t="s">
        <v>235</v>
      </c>
      <c r="C1" s="58" t="s">
        <v>234</v>
      </c>
      <c r="D1" s="58" t="s">
        <v>233</v>
      </c>
      <c r="E1" s="81" t="s">
        <v>232</v>
      </c>
      <c r="F1" s="46" t="s">
        <v>192</v>
      </c>
      <c r="G1" s="76" t="s">
        <v>231</v>
      </c>
    </row>
    <row r="2" spans="1:8" ht="42" x14ac:dyDescent="0.35">
      <c r="A2" s="46">
        <v>0</v>
      </c>
      <c r="B2" s="79" t="s">
        <v>230</v>
      </c>
      <c r="C2" s="78">
        <v>-21</v>
      </c>
      <c r="D2" s="78">
        <v>2.2000000000000002</v>
      </c>
      <c r="E2" s="78">
        <v>157</v>
      </c>
      <c r="F2" s="58">
        <v>0.108</v>
      </c>
      <c r="G2" s="58"/>
      <c r="H2">
        <v>16</v>
      </c>
    </row>
    <row r="3" spans="1:8" ht="42" x14ac:dyDescent="0.35">
      <c r="A3" s="46">
        <v>1</v>
      </c>
      <c r="B3" s="79" t="s">
        <v>229</v>
      </c>
      <c r="C3" s="78">
        <v>-21</v>
      </c>
      <c r="D3" s="78">
        <v>-0.2</v>
      </c>
      <c r="E3" s="78">
        <v>182</v>
      </c>
      <c r="F3" s="58">
        <v>0.15</v>
      </c>
      <c r="G3" s="58">
        <v>719</v>
      </c>
    </row>
    <row r="4" spans="1:8" ht="42" x14ac:dyDescent="0.35">
      <c r="A4" s="46">
        <v>2</v>
      </c>
      <c r="B4" s="79" t="s">
        <v>228</v>
      </c>
      <c r="C4" s="78">
        <v>-20</v>
      </c>
      <c r="D4" s="78">
        <v>0.3</v>
      </c>
      <c r="E4" s="78">
        <v>180</v>
      </c>
      <c r="F4" s="58">
        <v>0.14199999999999999</v>
      </c>
      <c r="G4" s="58">
        <v>695</v>
      </c>
    </row>
    <row r="5" spans="1:8" ht="63" x14ac:dyDescent="0.35">
      <c r="A5" s="46">
        <v>3</v>
      </c>
      <c r="B5" s="79" t="s">
        <v>227</v>
      </c>
      <c r="C5" s="78">
        <v>-24</v>
      </c>
      <c r="D5" s="78">
        <v>-0.2</v>
      </c>
      <c r="E5" s="78">
        <v>172</v>
      </c>
      <c r="F5" s="58">
        <v>0.13500000000000001</v>
      </c>
      <c r="G5" s="58">
        <v>662</v>
      </c>
    </row>
    <row r="6" spans="1:8" ht="42" x14ac:dyDescent="0.35">
      <c r="A6" s="46">
        <v>4</v>
      </c>
      <c r="B6" s="79" t="s">
        <v>226</v>
      </c>
      <c r="C6" s="78">
        <v>-22</v>
      </c>
      <c r="D6" s="78">
        <v>-0.5</v>
      </c>
      <c r="E6" s="78">
        <v>176</v>
      </c>
      <c r="F6" s="58">
        <v>0.14899999999999999</v>
      </c>
      <c r="G6" s="58">
        <v>352</v>
      </c>
    </row>
    <row r="7" spans="1:8" ht="63" x14ac:dyDescent="0.35">
      <c r="A7" s="46">
        <v>5</v>
      </c>
      <c r="B7" s="79" t="s">
        <v>225</v>
      </c>
      <c r="C7" s="78">
        <v>-22</v>
      </c>
      <c r="D7" s="78">
        <v>-0.2</v>
      </c>
      <c r="E7" s="78">
        <v>184</v>
      </c>
      <c r="F7" s="58">
        <v>0.151</v>
      </c>
      <c r="G7" s="58">
        <v>655</v>
      </c>
    </row>
    <row r="8" spans="1:8" ht="63" x14ac:dyDescent="0.35">
      <c r="A8" s="46">
        <v>6</v>
      </c>
      <c r="B8" s="79" t="s">
        <v>224</v>
      </c>
      <c r="C8" s="78">
        <v>-18</v>
      </c>
      <c r="D8" s="78">
        <v>1.4</v>
      </c>
      <c r="E8" s="78">
        <v>154</v>
      </c>
      <c r="F8" s="58">
        <v>0.11700000000000001</v>
      </c>
      <c r="G8" s="58">
        <v>625</v>
      </c>
    </row>
    <row r="9" spans="1:8" ht="42" x14ac:dyDescent="0.35">
      <c r="A9" s="46">
        <v>7</v>
      </c>
      <c r="B9" s="79" t="s">
        <v>223</v>
      </c>
      <c r="C9" s="78">
        <v>-24</v>
      </c>
      <c r="D9" s="78">
        <v>0.6</v>
      </c>
      <c r="E9" s="78">
        <v>166</v>
      </c>
      <c r="F9" s="58">
        <v>0.13300000000000001</v>
      </c>
      <c r="G9" s="58">
        <v>509</v>
      </c>
    </row>
    <row r="10" spans="1:8" ht="63" x14ac:dyDescent="0.35">
      <c r="A10" s="46">
        <v>8</v>
      </c>
      <c r="B10" s="79" t="s">
        <v>222</v>
      </c>
      <c r="C10" s="78">
        <v>-20</v>
      </c>
      <c r="D10" s="78">
        <v>0.4</v>
      </c>
      <c r="E10" s="78">
        <v>179</v>
      </c>
      <c r="F10" s="58">
        <v>0.14099999999999999</v>
      </c>
      <c r="G10" s="58">
        <v>544</v>
      </c>
    </row>
    <row r="11" spans="1:8" ht="21" x14ac:dyDescent="0.35">
      <c r="A11" s="46">
        <v>9</v>
      </c>
      <c r="B11" s="79" t="s">
        <v>221</v>
      </c>
      <c r="C11" s="78">
        <v>-22</v>
      </c>
      <c r="D11" s="78">
        <v>-0.1</v>
      </c>
      <c r="E11" s="78">
        <v>176</v>
      </c>
      <c r="F11" s="58">
        <v>0.14699999999999999</v>
      </c>
      <c r="G11" s="58">
        <v>1320</v>
      </c>
    </row>
    <row r="12" spans="1:8" ht="42" x14ac:dyDescent="0.35">
      <c r="A12" s="46">
        <v>10</v>
      </c>
      <c r="B12" s="79" t="s">
        <v>220</v>
      </c>
      <c r="C12" s="78">
        <v>-22</v>
      </c>
      <c r="D12" s="78">
        <v>-0.1</v>
      </c>
      <c r="E12" s="78">
        <v>176</v>
      </c>
      <c r="F12" s="58">
        <v>0.14799999999999999</v>
      </c>
      <c r="G12" s="58">
        <v>850</v>
      </c>
    </row>
    <row r="13" spans="1:8" ht="63" x14ac:dyDescent="0.35">
      <c r="A13" s="46">
        <v>11</v>
      </c>
      <c r="B13" s="79" t="s">
        <v>219</v>
      </c>
      <c r="C13" s="78">
        <v>-22</v>
      </c>
      <c r="D13" s="78">
        <v>-0.3</v>
      </c>
      <c r="E13" s="78">
        <v>175</v>
      </c>
      <c r="F13" s="58">
        <v>0.14399999999999999</v>
      </c>
      <c r="G13" s="58">
        <v>574</v>
      </c>
    </row>
    <row r="14" spans="1:8" ht="42" x14ac:dyDescent="0.35">
      <c r="A14" s="46">
        <v>12</v>
      </c>
      <c r="B14" s="79" t="s">
        <v>218</v>
      </c>
      <c r="C14" s="78">
        <v>-25</v>
      </c>
      <c r="D14" s="78">
        <v>-0.4</v>
      </c>
      <c r="E14" s="78">
        <v>172</v>
      </c>
      <c r="F14" s="58">
        <v>0.14399999999999999</v>
      </c>
      <c r="G14" s="58">
        <v>405</v>
      </c>
    </row>
    <row r="15" spans="1:8" ht="42" x14ac:dyDescent="0.35">
      <c r="A15" s="46">
        <v>13</v>
      </c>
      <c r="B15" s="79" t="s">
        <v>217</v>
      </c>
      <c r="C15" s="78">
        <v>-19</v>
      </c>
      <c r="D15" s="78">
        <v>0.4</v>
      </c>
      <c r="E15" s="78">
        <v>179</v>
      </c>
      <c r="F15" s="58">
        <v>0.14899999999999999</v>
      </c>
      <c r="G15" s="58">
        <v>1255</v>
      </c>
    </row>
    <row r="16" spans="1:8" ht="42" x14ac:dyDescent="0.35">
      <c r="A16" s="46">
        <v>14</v>
      </c>
      <c r="B16" s="79" t="s">
        <v>216</v>
      </c>
      <c r="C16" s="78">
        <v>-20</v>
      </c>
      <c r="D16" s="78">
        <v>1.1000000000000001</v>
      </c>
      <c r="E16" s="78">
        <v>161</v>
      </c>
      <c r="F16" s="58">
        <v>0.123</v>
      </c>
      <c r="G16" s="58">
        <v>599</v>
      </c>
    </row>
    <row r="17" spans="1:7" ht="42" x14ac:dyDescent="0.25">
      <c r="A17" s="46">
        <v>15</v>
      </c>
      <c r="B17" s="80" t="s">
        <v>215</v>
      </c>
      <c r="C17" s="78">
        <v>-18</v>
      </c>
      <c r="D17" s="78">
        <v>2</v>
      </c>
      <c r="E17" s="78">
        <v>158</v>
      </c>
      <c r="F17" s="58">
        <v>0.13200000000000001</v>
      </c>
      <c r="G17" s="58">
        <v>900</v>
      </c>
    </row>
    <row r="18" spans="1:7" ht="42" x14ac:dyDescent="0.35">
      <c r="A18" s="46">
        <v>16</v>
      </c>
      <c r="B18" s="79" t="s">
        <v>214</v>
      </c>
      <c r="C18" s="78">
        <v>-23</v>
      </c>
      <c r="D18" s="78">
        <v>-0.8</v>
      </c>
      <c r="E18" s="78">
        <v>178</v>
      </c>
      <c r="F18" s="58">
        <v>0.153</v>
      </c>
      <c r="G18" s="58">
        <v>602</v>
      </c>
    </row>
    <row r="19" spans="1:7" ht="42" x14ac:dyDescent="0.35">
      <c r="A19" s="46">
        <v>17</v>
      </c>
      <c r="B19" s="79" t="s">
        <v>213</v>
      </c>
      <c r="C19" s="78">
        <v>-21</v>
      </c>
      <c r="D19" s="78">
        <v>0.1</v>
      </c>
      <c r="E19" s="78">
        <v>182</v>
      </c>
      <c r="F19" s="58">
        <v>0.14599999999999999</v>
      </c>
      <c r="G19" s="58">
        <v>695</v>
      </c>
    </row>
    <row r="20" spans="1:7" ht="42" x14ac:dyDescent="0.25">
      <c r="A20" s="46">
        <v>18</v>
      </c>
      <c r="B20" s="80" t="s">
        <v>212</v>
      </c>
      <c r="C20" s="78">
        <v>-25</v>
      </c>
      <c r="D20" s="78">
        <v>-1.4</v>
      </c>
      <c r="E20" s="78">
        <v>187</v>
      </c>
      <c r="F20" s="58">
        <v>0.16300000000000001</v>
      </c>
      <c r="G20" s="58">
        <v>633</v>
      </c>
    </row>
    <row r="21" spans="1:7" ht="63" x14ac:dyDescent="0.35">
      <c r="A21" s="46">
        <v>19</v>
      </c>
      <c r="B21" s="79" t="s">
        <v>211</v>
      </c>
      <c r="C21" s="78">
        <v>-20</v>
      </c>
      <c r="D21" s="78">
        <v>-0.2</v>
      </c>
      <c r="E21" s="78">
        <v>184</v>
      </c>
      <c r="F21" s="58">
        <v>0.14799999999999999</v>
      </c>
      <c r="G21" s="58">
        <v>631</v>
      </c>
    </row>
    <row r="22" spans="1:7" ht="42" x14ac:dyDescent="0.35">
      <c r="A22" s="46">
        <v>20</v>
      </c>
      <c r="B22" s="79" t="s">
        <v>210</v>
      </c>
      <c r="C22" s="78">
        <v>-23</v>
      </c>
      <c r="D22" s="78">
        <v>-1</v>
      </c>
      <c r="E22" s="78">
        <v>179</v>
      </c>
      <c r="F22" s="58">
        <v>0.158</v>
      </c>
      <c r="G22" s="58">
        <v>815</v>
      </c>
    </row>
    <row r="23" spans="1:7" ht="42" x14ac:dyDescent="0.35">
      <c r="A23" s="46">
        <v>21</v>
      </c>
      <c r="B23" s="79" t="s">
        <v>209</v>
      </c>
      <c r="C23" s="78">
        <v>-19</v>
      </c>
      <c r="D23" s="78">
        <v>1.3</v>
      </c>
      <c r="E23" s="78">
        <v>163</v>
      </c>
      <c r="F23" s="58">
        <v>0.126</v>
      </c>
      <c r="G23" s="58">
        <v>579</v>
      </c>
    </row>
    <row r="24" spans="1:7" ht="42" x14ac:dyDescent="0.35">
      <c r="A24" s="46">
        <v>22</v>
      </c>
      <c r="B24" s="79" t="s">
        <v>208</v>
      </c>
      <c r="C24" s="78">
        <v>-21</v>
      </c>
      <c r="D24" s="78">
        <v>-0.1</v>
      </c>
      <c r="E24" s="78">
        <v>183</v>
      </c>
      <c r="F24" s="58">
        <v>0.14799999999999999</v>
      </c>
      <c r="G24" s="58">
        <v>625</v>
      </c>
    </row>
    <row r="25" spans="1:7" ht="42" x14ac:dyDescent="0.35">
      <c r="A25" s="46">
        <v>23</v>
      </c>
      <c r="B25" s="79" t="s">
        <v>207</v>
      </c>
      <c r="C25" s="78">
        <v>-21</v>
      </c>
      <c r="D25" s="78">
        <v>-0.3</v>
      </c>
      <c r="E25" s="78">
        <v>178</v>
      </c>
      <c r="F25" s="58">
        <v>0.14899999999999999</v>
      </c>
      <c r="G25" s="58">
        <v>673</v>
      </c>
    </row>
    <row r="26" spans="1:7" ht="42" x14ac:dyDescent="0.35">
      <c r="A26" s="46">
        <v>24</v>
      </c>
      <c r="B26" s="79" t="s">
        <v>206</v>
      </c>
      <c r="C26" s="78">
        <v>-20</v>
      </c>
      <c r="D26" s="78">
        <v>0.5</v>
      </c>
      <c r="E26" s="78">
        <v>175</v>
      </c>
      <c r="F26" s="58">
        <v>0.13800000000000001</v>
      </c>
      <c r="G26" s="58">
        <v>1250</v>
      </c>
    </row>
    <row r="27" spans="1:7" ht="42" x14ac:dyDescent="0.35">
      <c r="A27" s="46">
        <v>25</v>
      </c>
      <c r="B27" s="79" t="s">
        <v>205</v>
      </c>
      <c r="C27" s="78">
        <v>-23</v>
      </c>
      <c r="D27" s="78">
        <v>-0.9</v>
      </c>
      <c r="E27" s="78">
        <v>187</v>
      </c>
      <c r="F27" s="58">
        <v>0.155</v>
      </c>
      <c r="G27" s="58">
        <v>649</v>
      </c>
    </row>
    <row r="28" spans="1:7" ht="105" x14ac:dyDescent="0.25">
      <c r="A28" s="77" t="s">
        <v>204</v>
      </c>
    </row>
  </sheetData>
  <hyperlinks>
    <hyperlink ref="A2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11" sqref="D11"/>
    </sheetView>
  </sheetViews>
  <sheetFormatPr defaultRowHeight="15" x14ac:dyDescent="0.25"/>
  <cols>
    <col min="1" max="3" width="9.140625" style="134" customWidth="1"/>
    <col min="4" max="4" width="11.5703125" style="134" customWidth="1"/>
    <col min="5" max="9" width="9.140625" style="134"/>
    <col min="10" max="10" width="11.5703125" style="134" customWidth="1"/>
    <col min="11" max="16384" width="9.140625" style="134"/>
  </cols>
  <sheetData>
    <row r="1" spans="1:13" x14ac:dyDescent="0.25">
      <c r="A1" s="293" t="s">
        <v>249</v>
      </c>
      <c r="B1" s="293"/>
      <c r="C1" s="293"/>
      <c r="D1" s="293"/>
      <c r="E1" s="293"/>
      <c r="F1" s="293"/>
    </row>
    <row r="2" spans="1:13" x14ac:dyDescent="0.25">
      <c r="A2" s="293" t="s">
        <v>248</v>
      </c>
      <c r="B2" s="293"/>
      <c r="C2" s="293"/>
      <c r="D2" s="293"/>
      <c r="E2" s="293"/>
      <c r="F2" s="293"/>
    </row>
    <row r="3" spans="1:13" x14ac:dyDescent="0.25">
      <c r="A3" s="293" t="s">
        <v>247</v>
      </c>
      <c r="B3" s="293"/>
      <c r="C3" s="293"/>
      <c r="D3" s="293"/>
      <c r="E3" s="242">
        <v>3.6</v>
      </c>
      <c r="F3" s="243" t="s">
        <v>245</v>
      </c>
    </row>
    <row r="4" spans="1:13" x14ac:dyDescent="0.25">
      <c r="A4" s="293" t="s">
        <v>246</v>
      </c>
      <c r="B4" s="293"/>
      <c r="C4" s="293"/>
      <c r="D4" s="293"/>
      <c r="E4" s="243">
        <v>7.1879999999999997</v>
      </c>
      <c r="F4" s="243" t="s">
        <v>245</v>
      </c>
    </row>
    <row r="7" spans="1:13" x14ac:dyDescent="0.25">
      <c r="A7" s="244"/>
    </row>
    <row r="8" spans="1:13" x14ac:dyDescent="0.25">
      <c r="A8" s="245"/>
      <c r="B8" s="293" t="s">
        <v>244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</row>
    <row r="9" spans="1:13" x14ac:dyDescent="0.25">
      <c r="A9" s="246" t="s">
        <v>243</v>
      </c>
      <c r="B9" s="247" t="s">
        <v>242</v>
      </c>
    </row>
    <row r="10" spans="1:13" x14ac:dyDescent="0.25">
      <c r="B10" s="294" t="s">
        <v>239</v>
      </c>
      <c r="C10" s="294"/>
      <c r="D10" s="294"/>
      <c r="E10" s="294"/>
      <c r="F10" s="294"/>
      <c r="G10" s="294"/>
      <c r="H10" s="294"/>
    </row>
    <row r="11" spans="1:13" x14ac:dyDescent="0.25">
      <c r="B11" s="294" t="s">
        <v>238</v>
      </c>
      <c r="C11" s="294"/>
      <c r="D11" s="294"/>
      <c r="E11" s="294"/>
      <c r="F11" s="294"/>
      <c r="G11" s="294"/>
      <c r="H11" s="294"/>
      <c r="I11" s="243">
        <v>0.45600000000000002</v>
      </c>
      <c r="J11" s="243" t="s">
        <v>236</v>
      </c>
    </row>
    <row r="12" spans="1:13" x14ac:dyDescent="0.25">
      <c r="B12" s="294" t="s">
        <v>237</v>
      </c>
      <c r="C12" s="294"/>
      <c r="D12" s="294"/>
      <c r="E12" s="294"/>
      <c r="F12" s="294"/>
      <c r="G12" s="294"/>
      <c r="H12" s="294"/>
      <c r="I12" s="243">
        <v>1.4790000000000001</v>
      </c>
      <c r="J12" s="243" t="s">
        <v>236</v>
      </c>
    </row>
    <row r="14" spans="1:13" x14ac:dyDescent="0.25">
      <c r="A14" s="246" t="s">
        <v>241</v>
      </c>
      <c r="B14" s="247" t="s">
        <v>240</v>
      </c>
    </row>
    <row r="15" spans="1:13" x14ac:dyDescent="0.25">
      <c r="B15" s="294" t="s">
        <v>239</v>
      </c>
      <c r="C15" s="294"/>
      <c r="D15" s="294"/>
      <c r="E15" s="294"/>
      <c r="F15" s="294"/>
      <c r="G15" s="294"/>
      <c r="H15" s="294"/>
    </row>
    <row r="16" spans="1:13" x14ac:dyDescent="0.25">
      <c r="B16" s="294" t="s">
        <v>238</v>
      </c>
      <c r="C16" s="294"/>
      <c r="D16" s="294"/>
      <c r="E16" s="294"/>
      <c r="F16" s="294"/>
      <c r="G16" s="294"/>
      <c r="H16" s="294"/>
      <c r="I16" s="243">
        <v>0.45600000000000002</v>
      </c>
      <c r="J16" s="243" t="s">
        <v>236</v>
      </c>
    </row>
    <row r="17" spans="2:10" x14ac:dyDescent="0.25">
      <c r="B17" s="294" t="s">
        <v>237</v>
      </c>
      <c r="C17" s="294"/>
      <c r="D17" s="294"/>
      <c r="E17" s="294"/>
      <c r="F17" s="294"/>
      <c r="G17" s="294"/>
      <c r="H17" s="294"/>
      <c r="I17" s="243">
        <v>1.4790000000000001</v>
      </c>
      <c r="J17" s="243" t="s">
        <v>236</v>
      </c>
    </row>
  </sheetData>
  <mergeCells count="11">
    <mergeCell ref="A3:D3"/>
    <mergeCell ref="A4:D4"/>
    <mergeCell ref="A2:F2"/>
    <mergeCell ref="A1:F1"/>
    <mergeCell ref="B17:H17"/>
    <mergeCell ref="B8:M8"/>
    <mergeCell ref="B11:H11"/>
    <mergeCell ref="B10:H10"/>
    <mergeCell ref="B12:H12"/>
    <mergeCell ref="B15:H15"/>
    <mergeCell ref="B16:H1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G67"/>
  <sheetViews>
    <sheetView topLeftCell="A9" workbookViewId="0">
      <selection activeCell="D11" sqref="D11"/>
    </sheetView>
  </sheetViews>
  <sheetFormatPr defaultColWidth="8.7109375" defaultRowHeight="14.25" x14ac:dyDescent="0.2"/>
  <cols>
    <col min="1" max="2" width="8.7109375" style="164"/>
    <col min="3" max="5" width="11.140625" style="164" customWidth="1"/>
    <col min="6" max="26" width="8.85546875" style="164" customWidth="1"/>
    <col min="27" max="28" width="8.7109375" style="164"/>
    <col min="29" max="29" width="8.7109375" style="164" customWidth="1"/>
    <col min="30" max="34" width="8.7109375" style="164"/>
    <col min="35" max="39" width="15.28515625" style="164" customWidth="1"/>
    <col min="40" max="58" width="14.28515625" style="164" customWidth="1"/>
    <col min="59" max="16384" width="8.7109375" style="164"/>
  </cols>
  <sheetData>
    <row r="1" spans="3:59" ht="15" customHeight="1" thickBot="1" x14ac:dyDescent="0.25"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3"/>
    </row>
    <row r="2" spans="3:59" ht="15" customHeight="1" x14ac:dyDescent="0.2">
      <c r="C2" s="377" t="str">
        <f>"Додаток 1 Розрахунок дисконтованого терміну окупності проекту"</f>
        <v>Додаток 1 Розрахунок дисконтованого терміну окупності проекту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9"/>
    </row>
    <row r="3" spans="3:59" ht="15" customHeight="1" thickBot="1" x14ac:dyDescent="0.25">
      <c r="C3" s="380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2"/>
    </row>
    <row r="4" spans="3:59" ht="15" customHeight="1" thickBot="1" x14ac:dyDescent="0.25"/>
    <row r="5" spans="3:59" ht="15" customHeight="1" x14ac:dyDescent="0.2">
      <c r="F5" s="383" t="s">
        <v>294</v>
      </c>
      <c r="G5" s="384"/>
      <c r="H5" s="384"/>
      <c r="I5" s="384"/>
      <c r="J5" s="385"/>
      <c r="K5" s="386">
        <v>50</v>
      </c>
      <c r="L5" s="387"/>
      <c r="N5" s="383" t="s">
        <v>293</v>
      </c>
      <c r="O5" s="384"/>
      <c r="P5" s="384"/>
      <c r="Q5" s="384"/>
      <c r="R5" s="385"/>
      <c r="S5" s="388">
        <f>'Калькулятор новий'!B17</f>
        <v>10</v>
      </c>
      <c r="T5" s="389"/>
    </row>
    <row r="6" spans="3:59" ht="15" customHeight="1" thickBot="1" x14ac:dyDescent="0.25">
      <c r="F6" s="390" t="s">
        <v>292</v>
      </c>
      <c r="G6" s="391"/>
      <c r="H6" s="391"/>
      <c r="I6" s="391"/>
      <c r="J6" s="391"/>
      <c r="K6" s="392">
        <v>0.25</v>
      </c>
      <c r="L6" s="393"/>
      <c r="N6" s="394" t="s">
        <v>291</v>
      </c>
      <c r="O6" s="395"/>
      <c r="P6" s="395"/>
      <c r="Q6" s="395"/>
      <c r="R6" s="396"/>
      <c r="S6" s="397">
        <f>ОСББ!D32</f>
        <v>0.45600000000000002</v>
      </c>
      <c r="T6" s="398"/>
    </row>
    <row r="7" spans="3:59" ht="15" customHeight="1" thickBot="1" x14ac:dyDescent="0.25"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</row>
    <row r="8" spans="3:59" ht="15" customHeight="1" x14ac:dyDescent="0.2">
      <c r="C8" s="405" t="s">
        <v>290</v>
      </c>
      <c r="D8" s="406"/>
      <c r="E8" s="407"/>
      <c r="F8" s="166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f>Q8</f>
        <v>0</v>
      </c>
      <c r="S8" s="167">
        <v>0</v>
      </c>
      <c r="T8" s="167">
        <v>0</v>
      </c>
      <c r="U8" s="167">
        <v>0</v>
      </c>
      <c r="V8" s="167">
        <v>0</v>
      </c>
      <c r="W8" s="167">
        <v>0</v>
      </c>
      <c r="X8" s="167">
        <v>0</v>
      </c>
      <c r="Y8" s="167">
        <v>0</v>
      </c>
      <c r="Z8" s="168">
        <v>0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69">
        <v>0</v>
      </c>
      <c r="AH8" s="169">
        <v>0</v>
      </c>
      <c r="AI8" s="169">
        <v>0</v>
      </c>
      <c r="AJ8" s="169">
        <v>0</v>
      </c>
      <c r="AK8" s="169">
        <v>0</v>
      </c>
      <c r="AL8" s="169">
        <v>0</v>
      </c>
      <c r="AM8" s="169">
        <v>0</v>
      </c>
      <c r="AN8" s="169">
        <v>0</v>
      </c>
      <c r="AO8" s="169">
        <v>0</v>
      </c>
      <c r="AP8" s="169">
        <v>0</v>
      </c>
      <c r="AQ8" s="169">
        <v>0</v>
      </c>
      <c r="AR8" s="169">
        <v>0</v>
      </c>
      <c r="AS8" s="169">
        <v>0</v>
      </c>
      <c r="AT8" s="169">
        <v>0</v>
      </c>
      <c r="AU8" s="169">
        <v>0</v>
      </c>
      <c r="AV8" s="169">
        <v>0</v>
      </c>
      <c r="AW8" s="169">
        <v>0</v>
      </c>
      <c r="AX8" s="169">
        <v>0</v>
      </c>
      <c r="AY8" s="169">
        <v>0</v>
      </c>
      <c r="AZ8" s="169">
        <v>0</v>
      </c>
      <c r="BA8" s="169">
        <v>0</v>
      </c>
      <c r="BB8" s="169">
        <v>0</v>
      </c>
      <c r="BC8" s="169">
        <v>0</v>
      </c>
      <c r="BD8" s="169">
        <v>0</v>
      </c>
      <c r="BE8" s="169">
        <v>0</v>
      </c>
      <c r="BF8" s="169">
        <v>0</v>
      </c>
      <c r="BG8" s="165"/>
    </row>
    <row r="9" spans="3:59" ht="15" customHeight="1" x14ac:dyDescent="0.2">
      <c r="C9" s="408" t="s">
        <v>289</v>
      </c>
      <c r="D9" s="409"/>
      <c r="E9" s="410"/>
      <c r="F9" s="170">
        <v>0.5</v>
      </c>
      <c r="G9" s="171">
        <v>0.5</v>
      </c>
      <c r="H9" s="171">
        <v>0.13</v>
      </c>
      <c r="I9" s="171">
        <v>0.12</v>
      </c>
      <c r="J9" s="171">
        <v>0.115</v>
      </c>
      <c r="K9" s="171">
        <v>0.11</v>
      </c>
      <c r="L9" s="171">
        <v>0.11</v>
      </c>
      <c r="M9" s="171">
        <v>0.11</v>
      </c>
      <c r="N9" s="171">
        <v>0.11</v>
      </c>
      <c r="O9" s="171">
        <v>0.11</v>
      </c>
      <c r="P9" s="171">
        <v>0.11</v>
      </c>
      <c r="Q9" s="171">
        <v>0.11</v>
      </c>
      <c r="R9" s="171">
        <v>0.11</v>
      </c>
      <c r="S9" s="171">
        <v>0.11</v>
      </c>
      <c r="T9" s="171">
        <v>0.11</v>
      </c>
      <c r="U9" s="171">
        <v>0.11</v>
      </c>
      <c r="V9" s="171">
        <v>0.11</v>
      </c>
      <c r="W9" s="171">
        <v>0.11</v>
      </c>
      <c r="X9" s="171">
        <v>0.11</v>
      </c>
      <c r="Y9" s="171">
        <v>0.11</v>
      </c>
      <c r="Z9" s="172">
        <v>0.11</v>
      </c>
      <c r="AA9" s="169">
        <v>0.11</v>
      </c>
      <c r="AB9" s="169">
        <v>0.11</v>
      </c>
      <c r="AC9" s="169">
        <v>0.11</v>
      </c>
      <c r="AD9" s="169">
        <v>0.11</v>
      </c>
      <c r="AE9" s="169">
        <v>0.11</v>
      </c>
      <c r="AF9" s="169">
        <v>0.11</v>
      </c>
      <c r="AG9" s="169">
        <v>0.11</v>
      </c>
      <c r="AH9" s="169">
        <v>0.11</v>
      </c>
      <c r="AI9" s="169">
        <v>0.11</v>
      </c>
      <c r="AJ9" s="169">
        <v>0.11</v>
      </c>
      <c r="AK9" s="169">
        <v>0.11</v>
      </c>
      <c r="AL9" s="169">
        <v>0.11</v>
      </c>
      <c r="AM9" s="169">
        <v>0.11</v>
      </c>
      <c r="AN9" s="169">
        <v>0.11</v>
      </c>
      <c r="AO9" s="169">
        <v>0.11</v>
      </c>
      <c r="AP9" s="169">
        <v>0.11</v>
      </c>
      <c r="AQ9" s="169">
        <v>0.11</v>
      </c>
      <c r="AR9" s="169">
        <v>0.11</v>
      </c>
      <c r="AS9" s="169">
        <v>0.11</v>
      </c>
      <c r="AT9" s="169">
        <v>0.11</v>
      </c>
      <c r="AU9" s="169">
        <v>0.11</v>
      </c>
      <c r="AV9" s="169">
        <v>0.11</v>
      </c>
      <c r="AW9" s="169">
        <v>0.11</v>
      </c>
      <c r="AX9" s="169">
        <v>0.11</v>
      </c>
      <c r="AY9" s="169">
        <v>0.11</v>
      </c>
      <c r="AZ9" s="169">
        <v>0.11</v>
      </c>
      <c r="BA9" s="169">
        <v>0.11</v>
      </c>
      <c r="BB9" s="169">
        <v>0.11</v>
      </c>
      <c r="BC9" s="169">
        <v>0.11</v>
      </c>
      <c r="BD9" s="169">
        <v>0.11</v>
      </c>
      <c r="BE9" s="169">
        <v>0.11</v>
      </c>
      <c r="BF9" s="169">
        <v>0.11</v>
      </c>
      <c r="BG9" s="165"/>
    </row>
    <row r="10" spans="3:59" ht="15" customHeight="1" x14ac:dyDescent="0.2">
      <c r="C10" s="411" t="s">
        <v>288</v>
      </c>
      <c r="D10" s="412"/>
      <c r="E10" s="413"/>
      <c r="F10" s="173">
        <v>1</v>
      </c>
      <c r="G10" s="174">
        <f t="shared" ref="G10:AL10" si="0">F10*(1+F9)</f>
        <v>1.5</v>
      </c>
      <c r="H10" s="174">
        <f t="shared" si="0"/>
        <v>2.25</v>
      </c>
      <c r="I10" s="174">
        <f t="shared" si="0"/>
        <v>2.5424999999999995</v>
      </c>
      <c r="J10" s="174">
        <f t="shared" si="0"/>
        <v>2.8475999999999999</v>
      </c>
      <c r="K10" s="174">
        <f t="shared" si="0"/>
        <v>3.175074</v>
      </c>
      <c r="L10" s="174">
        <f t="shared" si="0"/>
        <v>3.5243321400000003</v>
      </c>
      <c r="M10" s="174">
        <f t="shared" si="0"/>
        <v>3.9120086754000005</v>
      </c>
      <c r="N10" s="174">
        <f t="shared" si="0"/>
        <v>4.3423296296940013</v>
      </c>
      <c r="O10" s="174">
        <f t="shared" si="0"/>
        <v>4.8199858889603417</v>
      </c>
      <c r="P10" s="174">
        <f t="shared" si="0"/>
        <v>5.35018433674598</v>
      </c>
      <c r="Q10" s="174">
        <f t="shared" si="0"/>
        <v>5.9387046137880386</v>
      </c>
      <c r="R10" s="174">
        <f t="shared" si="0"/>
        <v>6.5919621213047233</v>
      </c>
      <c r="S10" s="174">
        <f t="shared" si="0"/>
        <v>7.3170779546482434</v>
      </c>
      <c r="T10" s="175">
        <f t="shared" si="0"/>
        <v>8.1219565296595508</v>
      </c>
      <c r="U10" s="174">
        <f t="shared" si="0"/>
        <v>9.0153717479221029</v>
      </c>
      <c r="V10" s="174">
        <f t="shared" si="0"/>
        <v>10.007062640193535</v>
      </c>
      <c r="W10" s="174">
        <f t="shared" si="0"/>
        <v>11.107839530614825</v>
      </c>
      <c r="X10" s="174">
        <f t="shared" si="0"/>
        <v>12.329701878982457</v>
      </c>
      <c r="Y10" s="174">
        <f t="shared" si="0"/>
        <v>13.685969085670529</v>
      </c>
      <c r="Z10" s="176">
        <f t="shared" si="0"/>
        <v>15.191425685094288</v>
      </c>
      <c r="AA10" s="177">
        <f t="shared" si="0"/>
        <v>16.862482510454662</v>
      </c>
      <c r="AB10" s="178">
        <f t="shared" si="0"/>
        <v>18.717355586604675</v>
      </c>
      <c r="AC10" s="177">
        <f t="shared" si="0"/>
        <v>20.77626470113119</v>
      </c>
      <c r="AD10" s="177">
        <f t="shared" si="0"/>
        <v>23.061653818255621</v>
      </c>
      <c r="AE10" s="177">
        <f t="shared" si="0"/>
        <v>25.598435738263742</v>
      </c>
      <c r="AF10" s="177">
        <f t="shared" si="0"/>
        <v>28.414263669472756</v>
      </c>
      <c r="AG10" s="177">
        <f t="shared" si="0"/>
        <v>31.539832673114763</v>
      </c>
      <c r="AH10" s="177">
        <f t="shared" si="0"/>
        <v>35.00921426715739</v>
      </c>
      <c r="AI10" s="177">
        <f t="shared" si="0"/>
        <v>38.860227836544709</v>
      </c>
      <c r="AJ10" s="178">
        <f t="shared" si="0"/>
        <v>43.134852898564631</v>
      </c>
      <c r="AK10" s="177">
        <f t="shared" si="0"/>
        <v>47.879686717406742</v>
      </c>
      <c r="AL10" s="177">
        <f t="shared" si="0"/>
        <v>53.146452256321489</v>
      </c>
      <c r="AM10" s="177">
        <f t="shared" ref="AM10:BF10" si="1">AL10*(1+AL9)</f>
        <v>58.992562004516856</v>
      </c>
      <c r="AN10" s="177">
        <f t="shared" si="1"/>
        <v>65.481743825013709</v>
      </c>
      <c r="AO10" s="177">
        <f t="shared" si="1"/>
        <v>72.68473564576523</v>
      </c>
      <c r="AP10" s="177">
        <f t="shared" si="1"/>
        <v>80.680056566799408</v>
      </c>
      <c r="AQ10" s="177">
        <f t="shared" si="1"/>
        <v>89.55486278914735</v>
      </c>
      <c r="AR10" s="178">
        <f t="shared" si="1"/>
        <v>99.40589769595357</v>
      </c>
      <c r="AS10" s="177">
        <f t="shared" si="1"/>
        <v>110.34054644250847</v>
      </c>
      <c r="AT10" s="177">
        <f t="shared" si="1"/>
        <v>122.47800655118441</v>
      </c>
      <c r="AU10" s="177">
        <f t="shared" si="1"/>
        <v>135.9505872718147</v>
      </c>
      <c r="AV10" s="177">
        <f t="shared" si="1"/>
        <v>150.90515187171434</v>
      </c>
      <c r="AW10" s="177">
        <f t="shared" si="1"/>
        <v>167.50471857760294</v>
      </c>
      <c r="AX10" s="177">
        <f t="shared" si="1"/>
        <v>185.93023762113927</v>
      </c>
      <c r="AY10" s="177">
        <f t="shared" si="1"/>
        <v>206.3825637594646</v>
      </c>
      <c r="AZ10" s="178">
        <f t="shared" si="1"/>
        <v>229.08464577300572</v>
      </c>
      <c r="BA10" s="177">
        <f t="shared" si="1"/>
        <v>254.28395680803638</v>
      </c>
      <c r="BB10" s="177">
        <f t="shared" si="1"/>
        <v>282.25519205692041</v>
      </c>
      <c r="BC10" s="177">
        <f t="shared" si="1"/>
        <v>313.30326318318168</v>
      </c>
      <c r="BD10" s="177">
        <f t="shared" si="1"/>
        <v>347.76662213333168</v>
      </c>
      <c r="BE10" s="177">
        <f t="shared" si="1"/>
        <v>386.02095056799817</v>
      </c>
      <c r="BF10" s="177">
        <f t="shared" si="1"/>
        <v>428.48325513047803</v>
      </c>
      <c r="BG10" s="165"/>
    </row>
    <row r="11" spans="3:59" ht="15" customHeight="1" x14ac:dyDescent="0.2">
      <c r="C11" s="408" t="s">
        <v>287</v>
      </c>
      <c r="D11" s="409"/>
      <c r="E11" s="410"/>
      <c r="F11" s="179">
        <v>0.5</v>
      </c>
      <c r="G11" s="180">
        <v>0.5</v>
      </c>
      <c r="H11" s="180">
        <v>8.5000000000000006E-2</v>
      </c>
      <c r="I11" s="180">
        <v>8.5000000000000006E-2</v>
      </c>
      <c r="J11" s="180">
        <v>4.4999999999999998E-2</v>
      </c>
      <c r="K11" s="180">
        <v>4.4999999999999998E-2</v>
      </c>
      <c r="L11" s="180">
        <v>4.4999999999999998E-2</v>
      </c>
      <c r="M11" s="180">
        <v>4.4999999999999998E-2</v>
      </c>
      <c r="N11" s="180">
        <v>4.4999999999999998E-2</v>
      </c>
      <c r="O11" s="180">
        <v>4.4999999999999998E-2</v>
      </c>
      <c r="P11" s="180">
        <v>4.4999999999999998E-2</v>
      </c>
      <c r="Q11" s="180">
        <v>4.4999999999999998E-2</v>
      </c>
      <c r="R11" s="180">
        <v>4.4999999999999998E-2</v>
      </c>
      <c r="S11" s="180">
        <v>4.4999999999999998E-2</v>
      </c>
      <c r="T11" s="180">
        <v>4.4999999999999998E-2</v>
      </c>
      <c r="U11" s="180">
        <v>4.4999999999999998E-2</v>
      </c>
      <c r="V11" s="180">
        <v>4.4999999999999998E-2</v>
      </c>
      <c r="W11" s="180">
        <v>4.4999999999999998E-2</v>
      </c>
      <c r="X11" s="180">
        <v>4.4999999999999998E-2</v>
      </c>
      <c r="Y11" s="180">
        <v>4.4999999999999998E-2</v>
      </c>
      <c r="Z11" s="181">
        <v>4.4999999999999998E-2</v>
      </c>
      <c r="AA11" s="182">
        <v>4.4999999999999998E-2</v>
      </c>
      <c r="AB11" s="182">
        <v>4.4999999999999998E-2</v>
      </c>
      <c r="AC11" s="182">
        <v>4.4999999999999998E-2</v>
      </c>
      <c r="AD11" s="182">
        <v>4.4999999999999998E-2</v>
      </c>
      <c r="AE11" s="182">
        <v>4.4999999999999998E-2</v>
      </c>
      <c r="AF11" s="182">
        <v>4.4999999999999998E-2</v>
      </c>
      <c r="AG11" s="182">
        <v>4.4999999999999998E-2</v>
      </c>
      <c r="AH11" s="182">
        <v>4.4999999999999998E-2</v>
      </c>
      <c r="AI11" s="182">
        <v>4.4999999999999998E-2</v>
      </c>
      <c r="AJ11" s="182">
        <v>4.4999999999999998E-2</v>
      </c>
      <c r="AK11" s="182">
        <v>4.4999999999999998E-2</v>
      </c>
      <c r="AL11" s="182">
        <v>4.4999999999999998E-2</v>
      </c>
      <c r="AM11" s="182">
        <v>4.4999999999999998E-2</v>
      </c>
      <c r="AN11" s="182">
        <v>4.4999999999999998E-2</v>
      </c>
      <c r="AO11" s="182">
        <v>4.4999999999999998E-2</v>
      </c>
      <c r="AP11" s="182">
        <v>4.4999999999999998E-2</v>
      </c>
      <c r="AQ11" s="182">
        <v>4.4999999999999998E-2</v>
      </c>
      <c r="AR11" s="182">
        <v>4.4999999999999998E-2</v>
      </c>
      <c r="AS11" s="182">
        <v>4.4999999999999998E-2</v>
      </c>
      <c r="AT11" s="182">
        <v>4.4999999999999998E-2</v>
      </c>
      <c r="AU11" s="182">
        <v>4.4999999999999998E-2</v>
      </c>
      <c r="AV11" s="182">
        <v>4.4999999999999998E-2</v>
      </c>
      <c r="AW11" s="182">
        <v>4.4999999999999998E-2</v>
      </c>
      <c r="AX11" s="182">
        <v>4.4999999999999998E-2</v>
      </c>
      <c r="AY11" s="182">
        <v>4.4999999999999998E-2</v>
      </c>
      <c r="AZ11" s="182">
        <v>4.4999999999999998E-2</v>
      </c>
      <c r="BA11" s="182">
        <v>4.4999999999999998E-2</v>
      </c>
      <c r="BB11" s="182">
        <v>4.4999999999999998E-2</v>
      </c>
      <c r="BC11" s="182">
        <v>4.4999999999999998E-2</v>
      </c>
      <c r="BD11" s="182">
        <v>4.4999999999999998E-2</v>
      </c>
      <c r="BE11" s="182">
        <v>4.4999999999999998E-2</v>
      </c>
      <c r="BF11" s="182">
        <v>4.4999999999999998E-2</v>
      </c>
      <c r="BG11" s="165"/>
    </row>
    <row r="12" spans="3:59" ht="15" customHeight="1" x14ac:dyDescent="0.2">
      <c r="C12" s="411" t="s">
        <v>286</v>
      </c>
      <c r="D12" s="412"/>
      <c r="E12" s="413"/>
      <c r="F12" s="183">
        <v>1</v>
      </c>
      <c r="G12" s="175">
        <f t="shared" ref="G12:AL12" si="2">F12*(1+F11)</f>
        <v>1.5</v>
      </c>
      <c r="H12" s="175">
        <f t="shared" si="2"/>
        <v>2.25</v>
      </c>
      <c r="I12" s="175">
        <f t="shared" si="2"/>
        <v>2.4412500000000001</v>
      </c>
      <c r="J12" s="175">
        <f t="shared" si="2"/>
        <v>2.6487562499999999</v>
      </c>
      <c r="K12" s="175">
        <f t="shared" si="2"/>
        <v>2.7679502812499996</v>
      </c>
      <c r="L12" s="175">
        <f t="shared" si="2"/>
        <v>2.8925080439062496</v>
      </c>
      <c r="M12" s="175">
        <f t="shared" si="2"/>
        <v>3.0226709058820305</v>
      </c>
      <c r="N12" s="175">
        <f t="shared" si="2"/>
        <v>3.1586910966467214</v>
      </c>
      <c r="O12" s="175">
        <f t="shared" si="2"/>
        <v>3.3008321959958238</v>
      </c>
      <c r="P12" s="175">
        <f t="shared" si="2"/>
        <v>3.4493696448156355</v>
      </c>
      <c r="Q12" s="175">
        <f t="shared" si="2"/>
        <v>3.6045912788323387</v>
      </c>
      <c r="R12" s="175">
        <f t="shared" si="2"/>
        <v>3.7667978863797935</v>
      </c>
      <c r="S12" s="175">
        <f t="shared" si="2"/>
        <v>3.9363037912668841</v>
      </c>
      <c r="T12" s="175">
        <f t="shared" si="2"/>
        <v>4.113437461873894</v>
      </c>
      <c r="U12" s="175">
        <f t="shared" si="2"/>
        <v>4.2985421476582193</v>
      </c>
      <c r="V12" s="175">
        <f t="shared" si="2"/>
        <v>4.4919765443028385</v>
      </c>
      <c r="W12" s="175">
        <f t="shared" si="2"/>
        <v>4.6941154887964656</v>
      </c>
      <c r="X12" s="175">
        <f t="shared" si="2"/>
        <v>4.9053506857923059</v>
      </c>
      <c r="Y12" s="175">
        <f t="shared" si="2"/>
        <v>5.1260914666529596</v>
      </c>
      <c r="Z12" s="184">
        <f t="shared" si="2"/>
        <v>5.3567655826523426</v>
      </c>
      <c r="AA12" s="178">
        <f t="shared" si="2"/>
        <v>5.5978200338716979</v>
      </c>
      <c r="AB12" s="178">
        <f t="shared" si="2"/>
        <v>5.849721935395924</v>
      </c>
      <c r="AC12" s="178">
        <f t="shared" si="2"/>
        <v>6.11295942248874</v>
      </c>
      <c r="AD12" s="178">
        <f t="shared" si="2"/>
        <v>6.3880425965007328</v>
      </c>
      <c r="AE12" s="178">
        <f t="shared" si="2"/>
        <v>6.6755045133432649</v>
      </c>
      <c r="AF12" s="178">
        <f t="shared" si="2"/>
        <v>6.9759022164437114</v>
      </c>
      <c r="AG12" s="178">
        <f t="shared" si="2"/>
        <v>7.2898178161836782</v>
      </c>
      <c r="AH12" s="178">
        <f t="shared" si="2"/>
        <v>7.6178596179119431</v>
      </c>
      <c r="AI12" s="178">
        <f t="shared" si="2"/>
        <v>7.9606633007179797</v>
      </c>
      <c r="AJ12" s="178">
        <f t="shared" si="2"/>
        <v>8.3188931492502878</v>
      </c>
      <c r="AK12" s="178">
        <f t="shared" si="2"/>
        <v>8.6932433409665499</v>
      </c>
      <c r="AL12" s="178">
        <f t="shared" si="2"/>
        <v>9.0844392913100442</v>
      </c>
      <c r="AM12" s="178">
        <f t="shared" ref="AM12:BF12" si="3">AL12*(1+AL11)</f>
        <v>9.493239059418995</v>
      </c>
      <c r="AN12" s="178">
        <f t="shared" si="3"/>
        <v>9.9204348170928487</v>
      </c>
      <c r="AO12" s="178">
        <f t="shared" si="3"/>
        <v>10.366854383862027</v>
      </c>
      <c r="AP12" s="178">
        <f t="shared" si="3"/>
        <v>10.833362831135817</v>
      </c>
      <c r="AQ12" s="178">
        <f t="shared" si="3"/>
        <v>11.320864158536928</v>
      </c>
      <c r="AR12" s="178">
        <f t="shared" si="3"/>
        <v>11.830303045671089</v>
      </c>
      <c r="AS12" s="178">
        <f t="shared" si="3"/>
        <v>12.362666682726287</v>
      </c>
      <c r="AT12" s="178">
        <f t="shared" si="3"/>
        <v>12.918986683448969</v>
      </c>
      <c r="AU12" s="178">
        <f t="shared" si="3"/>
        <v>13.500341084204171</v>
      </c>
      <c r="AV12" s="178">
        <f t="shared" si="3"/>
        <v>14.107856432993358</v>
      </c>
      <c r="AW12" s="178">
        <f t="shared" si="3"/>
        <v>14.742709972478059</v>
      </c>
      <c r="AX12" s="178">
        <f t="shared" si="3"/>
        <v>15.40613192123957</v>
      </c>
      <c r="AY12" s="178">
        <f t="shared" si="3"/>
        <v>16.099407857695351</v>
      </c>
      <c r="AZ12" s="178">
        <f t="shared" si="3"/>
        <v>16.823881211291638</v>
      </c>
      <c r="BA12" s="178">
        <f t="shared" si="3"/>
        <v>17.580955865799762</v>
      </c>
      <c r="BB12" s="178">
        <f t="shared" si="3"/>
        <v>18.372098879760749</v>
      </c>
      <c r="BC12" s="178">
        <f t="shared" si="3"/>
        <v>19.19884332934998</v>
      </c>
      <c r="BD12" s="178">
        <f t="shared" si="3"/>
        <v>20.062791279170728</v>
      </c>
      <c r="BE12" s="178">
        <f t="shared" si="3"/>
        <v>20.965616886733411</v>
      </c>
      <c r="BF12" s="178">
        <f t="shared" si="3"/>
        <v>21.909069646636414</v>
      </c>
      <c r="BG12" s="165"/>
    </row>
    <row r="13" spans="3:59" ht="15" customHeight="1" thickBot="1" x14ac:dyDescent="0.25">
      <c r="C13" s="414" t="s">
        <v>285</v>
      </c>
      <c r="D13" s="415"/>
      <c r="E13" s="416"/>
      <c r="F13" s="185">
        <f>1</f>
        <v>1</v>
      </c>
      <c r="G13" s="186">
        <f>1/(1+K6)^G16</f>
        <v>0.8</v>
      </c>
      <c r="H13" s="186">
        <f>1/(1+K6)^H16</f>
        <v>0.64</v>
      </c>
      <c r="I13" s="186">
        <f>1/(1+K6)^I16</f>
        <v>0.51200000000000001</v>
      </c>
      <c r="J13" s="186">
        <f>1/(1+K6)^J16</f>
        <v>0.40960000000000002</v>
      </c>
      <c r="K13" s="186">
        <f>1/(1+K6)^K16</f>
        <v>0.32768000000000003</v>
      </c>
      <c r="L13" s="186">
        <f>1/(1+K6)^L16</f>
        <v>0.26214399999999999</v>
      </c>
      <c r="M13" s="186">
        <f>1/(1+K6)^M16</f>
        <v>0.20971519999999999</v>
      </c>
      <c r="N13" s="186">
        <f>1/(1+K6)^N16</f>
        <v>0.16777216</v>
      </c>
      <c r="O13" s="186">
        <f>1/(1+K6)^O16</f>
        <v>0.13421772800000001</v>
      </c>
      <c r="P13" s="186">
        <f>1/(1+K6)^P16</f>
        <v>0.1073741824</v>
      </c>
      <c r="Q13" s="186">
        <f>1/(1+K6)^Q16</f>
        <v>8.5899345919999995E-2</v>
      </c>
      <c r="R13" s="186">
        <f>1/(1+K6)^R16</f>
        <v>6.8719476735999999E-2</v>
      </c>
      <c r="S13" s="186">
        <f>1/(1+K6)^S16</f>
        <v>5.4975581388800002E-2</v>
      </c>
      <c r="T13" s="186">
        <f>1/(1+K6)^T16</f>
        <v>4.398046511104E-2</v>
      </c>
      <c r="U13" s="186">
        <f>1/(1+K6)^U16</f>
        <v>3.5184372088832003E-2</v>
      </c>
      <c r="V13" s="186">
        <f>1/(1+K6)^V16</f>
        <v>2.8147497671065599E-2</v>
      </c>
      <c r="W13" s="186">
        <f>1/(1+K6)^W16</f>
        <v>2.2517998136852482E-2</v>
      </c>
      <c r="X13" s="186">
        <f>1/(1+K6)^X16</f>
        <v>1.8014398509481985E-2</v>
      </c>
      <c r="Y13" s="186">
        <f>1/(1+K6)^Y16</f>
        <v>1.4411518807585587E-2</v>
      </c>
      <c r="Z13" s="187">
        <f>1/(1+K6)^Z16</f>
        <v>1.1529215046068469E-2</v>
      </c>
      <c r="AA13" s="188">
        <f t="shared" ref="AA13:BF13" si="4">1/(1+$K$6)^Z16</f>
        <v>1.1529215046068469E-2</v>
      </c>
      <c r="AB13" s="188">
        <f t="shared" si="4"/>
        <v>9.223372036854775E-3</v>
      </c>
      <c r="AC13" s="188">
        <f t="shared" si="4"/>
        <v>7.378697629483821E-3</v>
      </c>
      <c r="AD13" s="188">
        <f t="shared" si="4"/>
        <v>5.9029581035870572E-3</v>
      </c>
      <c r="AE13" s="188">
        <f t="shared" si="4"/>
        <v>4.7223664828696457E-3</v>
      </c>
      <c r="AF13" s="188">
        <f t="shared" si="4"/>
        <v>3.7778931862957159E-3</v>
      </c>
      <c r="AG13" s="188">
        <f t="shared" si="4"/>
        <v>3.0223145490365726E-3</v>
      </c>
      <c r="AH13" s="188">
        <f t="shared" si="4"/>
        <v>2.4178516392292584E-3</v>
      </c>
      <c r="AI13" s="188">
        <f t="shared" si="4"/>
        <v>1.9342813113834068E-3</v>
      </c>
      <c r="AJ13" s="188">
        <f t="shared" si="4"/>
        <v>1.5474250491067255E-3</v>
      </c>
      <c r="AK13" s="188">
        <f t="shared" si="4"/>
        <v>1.2379400392853802E-3</v>
      </c>
      <c r="AL13" s="188">
        <f t="shared" si="4"/>
        <v>9.903520314283043E-4</v>
      </c>
      <c r="AM13" s="188">
        <f t="shared" si="4"/>
        <v>7.9228162514264331E-4</v>
      </c>
      <c r="AN13" s="188">
        <f t="shared" si="4"/>
        <v>6.3382530011411463E-4</v>
      </c>
      <c r="AO13" s="188">
        <f t="shared" si="4"/>
        <v>5.0706024009129172E-4</v>
      </c>
      <c r="AP13" s="188">
        <f t="shared" si="4"/>
        <v>4.0564819207303341E-4</v>
      </c>
      <c r="AQ13" s="188">
        <f t="shared" si="4"/>
        <v>3.2451855365842671E-4</v>
      </c>
      <c r="AR13" s="188">
        <f t="shared" si="4"/>
        <v>2.5961484292674134E-4</v>
      </c>
      <c r="AS13" s="188">
        <f t="shared" si="4"/>
        <v>2.076918743413931E-4</v>
      </c>
      <c r="AT13" s="188">
        <f t="shared" si="4"/>
        <v>1.6615349947311447E-4</v>
      </c>
      <c r="AU13" s="188">
        <f t="shared" si="4"/>
        <v>1.3292279957849158E-4</v>
      </c>
      <c r="AV13" s="188">
        <f t="shared" si="4"/>
        <v>1.0633823966279327E-4</v>
      </c>
      <c r="AW13" s="188">
        <f t="shared" si="4"/>
        <v>8.5070591730234606E-5</v>
      </c>
      <c r="AX13" s="188">
        <f t="shared" si="4"/>
        <v>6.8056473384187698E-5</v>
      </c>
      <c r="AY13" s="188">
        <f t="shared" si="4"/>
        <v>5.4445178707350152E-5</v>
      </c>
      <c r="AZ13" s="188">
        <f t="shared" si="4"/>
        <v>4.3556142965880123E-5</v>
      </c>
      <c r="BA13" s="188">
        <f t="shared" si="4"/>
        <v>3.4844914372704099E-5</v>
      </c>
      <c r="BB13" s="188">
        <f t="shared" si="4"/>
        <v>2.7875931498163278E-5</v>
      </c>
      <c r="BC13" s="188">
        <f t="shared" si="4"/>
        <v>2.2300745198530623E-5</v>
      </c>
      <c r="BD13" s="188">
        <f t="shared" si="4"/>
        <v>1.7840596158824497E-5</v>
      </c>
      <c r="BE13" s="188">
        <f t="shared" si="4"/>
        <v>1.4272476927059597E-5</v>
      </c>
      <c r="BF13" s="188">
        <f t="shared" si="4"/>
        <v>1.1417981541647679E-5</v>
      </c>
      <c r="BG13" s="165"/>
    </row>
    <row r="14" spans="3:59" ht="15" customHeight="1" thickBot="1" x14ac:dyDescent="0.25"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</row>
    <row r="15" spans="3:59" ht="15" customHeight="1" x14ac:dyDescent="0.2">
      <c r="C15" s="417" t="s">
        <v>284</v>
      </c>
      <c r="D15" s="418"/>
      <c r="E15" s="419"/>
      <c r="F15" s="189" t="str">
        <f>[1]Вхід!J17</f>
        <v>2015</v>
      </c>
      <c r="G15" s="190">
        <f t="shared" ref="G15:AL15" si="5">F15+1</f>
        <v>2016</v>
      </c>
      <c r="H15" s="190">
        <f t="shared" si="5"/>
        <v>2017</v>
      </c>
      <c r="I15" s="190">
        <f t="shared" si="5"/>
        <v>2018</v>
      </c>
      <c r="J15" s="190">
        <f t="shared" si="5"/>
        <v>2019</v>
      </c>
      <c r="K15" s="190">
        <f t="shared" si="5"/>
        <v>2020</v>
      </c>
      <c r="L15" s="190">
        <f t="shared" si="5"/>
        <v>2021</v>
      </c>
      <c r="M15" s="190">
        <f t="shared" si="5"/>
        <v>2022</v>
      </c>
      <c r="N15" s="190">
        <f t="shared" si="5"/>
        <v>2023</v>
      </c>
      <c r="O15" s="190">
        <f t="shared" si="5"/>
        <v>2024</v>
      </c>
      <c r="P15" s="190">
        <f t="shared" si="5"/>
        <v>2025</v>
      </c>
      <c r="Q15" s="190">
        <f t="shared" si="5"/>
        <v>2026</v>
      </c>
      <c r="R15" s="190">
        <f t="shared" si="5"/>
        <v>2027</v>
      </c>
      <c r="S15" s="190">
        <f t="shared" si="5"/>
        <v>2028</v>
      </c>
      <c r="T15" s="190">
        <f t="shared" si="5"/>
        <v>2029</v>
      </c>
      <c r="U15" s="190">
        <f t="shared" si="5"/>
        <v>2030</v>
      </c>
      <c r="V15" s="190">
        <f t="shared" si="5"/>
        <v>2031</v>
      </c>
      <c r="W15" s="190">
        <f t="shared" si="5"/>
        <v>2032</v>
      </c>
      <c r="X15" s="190">
        <f t="shared" si="5"/>
        <v>2033</v>
      </c>
      <c r="Y15" s="190">
        <f t="shared" si="5"/>
        <v>2034</v>
      </c>
      <c r="Z15" s="191">
        <f t="shared" si="5"/>
        <v>2035</v>
      </c>
      <c r="AA15" s="192">
        <f t="shared" si="5"/>
        <v>2036</v>
      </c>
      <c r="AB15" s="192">
        <f t="shared" si="5"/>
        <v>2037</v>
      </c>
      <c r="AC15" s="192">
        <f t="shared" si="5"/>
        <v>2038</v>
      </c>
      <c r="AD15" s="192">
        <f t="shared" si="5"/>
        <v>2039</v>
      </c>
      <c r="AE15" s="192">
        <f t="shared" si="5"/>
        <v>2040</v>
      </c>
      <c r="AF15" s="192">
        <f t="shared" si="5"/>
        <v>2041</v>
      </c>
      <c r="AG15" s="192">
        <f t="shared" si="5"/>
        <v>2042</v>
      </c>
      <c r="AH15" s="192">
        <f t="shared" si="5"/>
        <v>2043</v>
      </c>
      <c r="AI15" s="192">
        <f t="shared" si="5"/>
        <v>2044</v>
      </c>
      <c r="AJ15" s="192">
        <f t="shared" si="5"/>
        <v>2045</v>
      </c>
      <c r="AK15" s="192">
        <f t="shared" si="5"/>
        <v>2046</v>
      </c>
      <c r="AL15" s="192">
        <f t="shared" si="5"/>
        <v>2047</v>
      </c>
      <c r="AM15" s="192">
        <f t="shared" ref="AM15:BF15" si="6">AL15+1</f>
        <v>2048</v>
      </c>
      <c r="AN15" s="192">
        <f t="shared" si="6"/>
        <v>2049</v>
      </c>
      <c r="AO15" s="192">
        <f t="shared" si="6"/>
        <v>2050</v>
      </c>
      <c r="AP15" s="192">
        <f t="shared" si="6"/>
        <v>2051</v>
      </c>
      <c r="AQ15" s="192">
        <f t="shared" si="6"/>
        <v>2052</v>
      </c>
      <c r="AR15" s="192">
        <f t="shared" si="6"/>
        <v>2053</v>
      </c>
      <c r="AS15" s="192">
        <f t="shared" si="6"/>
        <v>2054</v>
      </c>
      <c r="AT15" s="192">
        <f t="shared" si="6"/>
        <v>2055</v>
      </c>
      <c r="AU15" s="192">
        <f t="shared" si="6"/>
        <v>2056</v>
      </c>
      <c r="AV15" s="192">
        <f t="shared" si="6"/>
        <v>2057</v>
      </c>
      <c r="AW15" s="192">
        <f t="shared" si="6"/>
        <v>2058</v>
      </c>
      <c r="AX15" s="192">
        <f t="shared" si="6"/>
        <v>2059</v>
      </c>
      <c r="AY15" s="192">
        <f t="shared" si="6"/>
        <v>2060</v>
      </c>
      <c r="AZ15" s="192">
        <f t="shared" si="6"/>
        <v>2061</v>
      </c>
      <c r="BA15" s="192">
        <f t="shared" si="6"/>
        <v>2062</v>
      </c>
      <c r="BB15" s="192">
        <f t="shared" si="6"/>
        <v>2063</v>
      </c>
      <c r="BC15" s="192">
        <f t="shared" si="6"/>
        <v>2064</v>
      </c>
      <c r="BD15" s="192">
        <f t="shared" si="6"/>
        <v>2065</v>
      </c>
      <c r="BE15" s="192">
        <f t="shared" si="6"/>
        <v>2066</v>
      </c>
      <c r="BF15" s="192">
        <f t="shared" si="6"/>
        <v>2067</v>
      </c>
      <c r="BG15" s="165"/>
    </row>
    <row r="16" spans="3:59" ht="15" customHeight="1" thickBot="1" x14ac:dyDescent="0.25">
      <c r="C16" s="420" t="s">
        <v>283</v>
      </c>
      <c r="D16" s="421"/>
      <c r="E16" s="422"/>
      <c r="F16" s="193">
        <v>0</v>
      </c>
      <c r="G16" s="194">
        <f t="shared" ref="G16:AL16" si="7">F16+1</f>
        <v>1</v>
      </c>
      <c r="H16" s="194">
        <f t="shared" si="7"/>
        <v>2</v>
      </c>
      <c r="I16" s="194">
        <f t="shared" si="7"/>
        <v>3</v>
      </c>
      <c r="J16" s="194">
        <f t="shared" si="7"/>
        <v>4</v>
      </c>
      <c r="K16" s="194">
        <f t="shared" si="7"/>
        <v>5</v>
      </c>
      <c r="L16" s="194">
        <f t="shared" si="7"/>
        <v>6</v>
      </c>
      <c r="M16" s="194">
        <f t="shared" si="7"/>
        <v>7</v>
      </c>
      <c r="N16" s="194">
        <f t="shared" si="7"/>
        <v>8</v>
      </c>
      <c r="O16" s="194">
        <f t="shared" si="7"/>
        <v>9</v>
      </c>
      <c r="P16" s="194">
        <f t="shared" si="7"/>
        <v>10</v>
      </c>
      <c r="Q16" s="194">
        <f t="shared" si="7"/>
        <v>11</v>
      </c>
      <c r="R16" s="194">
        <f t="shared" si="7"/>
        <v>12</v>
      </c>
      <c r="S16" s="194">
        <f t="shared" si="7"/>
        <v>13</v>
      </c>
      <c r="T16" s="194">
        <f t="shared" si="7"/>
        <v>14</v>
      </c>
      <c r="U16" s="194">
        <f t="shared" si="7"/>
        <v>15</v>
      </c>
      <c r="V16" s="194">
        <f t="shared" si="7"/>
        <v>16</v>
      </c>
      <c r="W16" s="194">
        <f t="shared" si="7"/>
        <v>17</v>
      </c>
      <c r="X16" s="194">
        <f t="shared" si="7"/>
        <v>18</v>
      </c>
      <c r="Y16" s="194">
        <f t="shared" si="7"/>
        <v>19</v>
      </c>
      <c r="Z16" s="195">
        <f t="shared" si="7"/>
        <v>20</v>
      </c>
      <c r="AA16" s="192">
        <f t="shared" si="7"/>
        <v>21</v>
      </c>
      <c r="AB16" s="192">
        <f t="shared" si="7"/>
        <v>22</v>
      </c>
      <c r="AC16" s="192">
        <f t="shared" si="7"/>
        <v>23</v>
      </c>
      <c r="AD16" s="192">
        <f t="shared" si="7"/>
        <v>24</v>
      </c>
      <c r="AE16" s="192">
        <f t="shared" si="7"/>
        <v>25</v>
      </c>
      <c r="AF16" s="192">
        <f t="shared" si="7"/>
        <v>26</v>
      </c>
      <c r="AG16" s="192">
        <f t="shared" si="7"/>
        <v>27</v>
      </c>
      <c r="AH16" s="192">
        <f t="shared" si="7"/>
        <v>28</v>
      </c>
      <c r="AI16" s="192">
        <f t="shared" si="7"/>
        <v>29</v>
      </c>
      <c r="AJ16" s="192">
        <f t="shared" si="7"/>
        <v>30</v>
      </c>
      <c r="AK16" s="192">
        <f t="shared" si="7"/>
        <v>31</v>
      </c>
      <c r="AL16" s="192">
        <f t="shared" si="7"/>
        <v>32</v>
      </c>
      <c r="AM16" s="192">
        <f t="shared" ref="AM16:BF16" si="8">AL16+1</f>
        <v>33</v>
      </c>
      <c r="AN16" s="192">
        <f t="shared" si="8"/>
        <v>34</v>
      </c>
      <c r="AO16" s="192">
        <f t="shared" si="8"/>
        <v>35</v>
      </c>
      <c r="AP16" s="192">
        <f t="shared" si="8"/>
        <v>36</v>
      </c>
      <c r="AQ16" s="192">
        <f t="shared" si="8"/>
        <v>37</v>
      </c>
      <c r="AR16" s="192">
        <f t="shared" si="8"/>
        <v>38</v>
      </c>
      <c r="AS16" s="192">
        <f t="shared" si="8"/>
        <v>39</v>
      </c>
      <c r="AT16" s="192">
        <f t="shared" si="8"/>
        <v>40</v>
      </c>
      <c r="AU16" s="192">
        <f t="shared" si="8"/>
        <v>41</v>
      </c>
      <c r="AV16" s="192">
        <f t="shared" si="8"/>
        <v>42</v>
      </c>
      <c r="AW16" s="192">
        <f t="shared" si="8"/>
        <v>43</v>
      </c>
      <c r="AX16" s="192">
        <f t="shared" si="8"/>
        <v>44</v>
      </c>
      <c r="AY16" s="192">
        <f t="shared" si="8"/>
        <v>45</v>
      </c>
      <c r="AZ16" s="192">
        <f t="shared" si="8"/>
        <v>46</v>
      </c>
      <c r="BA16" s="192">
        <f t="shared" si="8"/>
        <v>47</v>
      </c>
      <c r="BB16" s="192">
        <f t="shared" si="8"/>
        <v>48</v>
      </c>
      <c r="BC16" s="192">
        <f t="shared" si="8"/>
        <v>49</v>
      </c>
      <c r="BD16" s="192">
        <f t="shared" si="8"/>
        <v>50</v>
      </c>
      <c r="BE16" s="192">
        <f t="shared" si="8"/>
        <v>51</v>
      </c>
      <c r="BF16" s="192">
        <f t="shared" si="8"/>
        <v>52</v>
      </c>
      <c r="BG16" s="165"/>
    </row>
    <row r="17" spans="3:59" ht="15" customHeight="1" x14ac:dyDescent="0.25">
      <c r="C17" s="423" t="s">
        <v>282</v>
      </c>
      <c r="D17" s="424"/>
      <c r="E17" s="425"/>
      <c r="F17" s="196">
        <f>-('Калькулятор новий'!B52*'Калькулятор новий'!B48)/1000</f>
        <v>-9669.9130422126254</v>
      </c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8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65"/>
    </row>
    <row r="18" spans="3:59" ht="15" customHeight="1" x14ac:dyDescent="0.25">
      <c r="C18" s="399" t="s">
        <v>281</v>
      </c>
      <c r="D18" s="400"/>
      <c r="E18" s="401"/>
      <c r="F18" s="200" t="s">
        <v>132</v>
      </c>
      <c r="G18" s="201">
        <f t="shared" ref="G18:AL18" si="9">SUM(G19:G23)</f>
        <v>347.50459827200007</v>
      </c>
      <c r="H18" s="201">
        <f t="shared" si="9"/>
        <v>521.2568974080001</v>
      </c>
      <c r="I18" s="201">
        <f t="shared" si="9"/>
        <v>781.88534611200021</v>
      </c>
      <c r="J18" s="201">
        <f t="shared" si="9"/>
        <v>879.62325440651989</v>
      </c>
      <c r="K18" s="201">
        <f t="shared" si="9"/>
        <v>981.88081349232425</v>
      </c>
      <c r="L18" s="201">
        <f t="shared" si="9"/>
        <v>1087.642114812679</v>
      </c>
      <c r="M18" s="201">
        <f t="shared" si="9"/>
        <v>1200.3398496233808</v>
      </c>
      <c r="N18" s="201">
        <f t="shared" si="9"/>
        <v>1325.1219048614182</v>
      </c>
      <c r="O18" s="201">
        <f t="shared" si="9"/>
        <v>1463.303496405716</v>
      </c>
      <c r="P18" s="201">
        <f t="shared" si="9"/>
        <v>1616.3438812103161</v>
      </c>
      <c r="Q18" s="201">
        <f t="shared" si="9"/>
        <v>1785.8621733524205</v>
      </c>
      <c r="R18" s="201">
        <f t="shared" si="9"/>
        <v>1973.6548985645604</v>
      </c>
      <c r="S18" s="201">
        <f t="shared" si="9"/>
        <v>2181.7154784264872</v>
      </c>
      <c r="T18" s="201">
        <f t="shared" si="9"/>
        <v>2412.2558564191186</v>
      </c>
      <c r="U18" s="201">
        <f t="shared" si="9"/>
        <v>2667.7305013823961</v>
      </c>
      <c r="V18" s="201">
        <f t="shared" si="9"/>
        <v>2950.8630498257075</v>
      </c>
      <c r="W18" s="201">
        <f t="shared" si="9"/>
        <v>3264.6758772958892</v>
      </c>
      <c r="X18" s="201">
        <f t="shared" si="9"/>
        <v>3612.522920927312</v>
      </c>
      <c r="Y18" s="201">
        <f t="shared" si="9"/>
        <v>3998.1261107289906</v>
      </c>
      <c r="Z18" s="202">
        <f t="shared" si="9"/>
        <v>4425.6158064913388</v>
      </c>
      <c r="AA18" s="203">
        <f t="shared" si="9"/>
        <v>4899.5756808487431</v>
      </c>
      <c r="AB18" s="203">
        <f t="shared" si="9"/>
        <v>5425.0925374894123</v>
      </c>
      <c r="AC18" s="203">
        <f t="shared" si="9"/>
        <v>6007.8116072891844</v>
      </c>
      <c r="AD18" s="203">
        <f t="shared" si="9"/>
        <v>6653.9979248473483</v>
      </c>
      <c r="AE18" s="203">
        <f t="shared" si="9"/>
        <v>7370.6044541709452</v>
      </c>
      <c r="AF18" s="203">
        <f t="shared" si="9"/>
        <v>8165.3477058117069</v>
      </c>
      <c r="AG18" s="203">
        <f t="shared" si="9"/>
        <v>9046.7916694086416</v>
      </c>
      <c r="AH18" s="203">
        <f t="shared" si="9"/>
        <v>10024.440976219332</v>
      </c>
      <c r="AI18" s="203">
        <f t="shared" si="9"/>
        <v>11108.844306822106</v>
      </c>
      <c r="AJ18" s="203">
        <f t="shared" si="9"/>
        <v>12311.709170836024</v>
      </c>
      <c r="AK18" s="203">
        <f t="shared" si="9"/>
        <v>13646.029309453332</v>
      </c>
      <c r="AL18" s="203">
        <f t="shared" si="9"/>
        <v>15126.226109160682</v>
      </c>
      <c r="AM18" s="203">
        <f t="shared" ref="AM18:BF18" si="10">SUM(AM19:AM23)</f>
        <v>16768.305567740881</v>
      </c>
      <c r="AN18" s="203">
        <f t="shared" si="10"/>
        <v>18590.032523160658</v>
      </c>
      <c r="AO18" s="203">
        <f t="shared" si="10"/>
        <v>20611.124044110187</v>
      </c>
      <c r="AP18" s="203">
        <f t="shared" si="10"/>
        <v>22853.464089817251</v>
      </c>
      <c r="AQ18" s="203">
        <f t="shared" si="10"/>
        <v>25341.341778590566</v>
      </c>
      <c r="AR18" s="203">
        <f t="shared" si="10"/>
        <v>28101.715861879144</v>
      </c>
      <c r="AS18" s="203">
        <f t="shared" si="10"/>
        <v>31164.508286273434</v>
      </c>
      <c r="AT18" s="203">
        <f t="shared" si="10"/>
        <v>34562.930042932538</v>
      </c>
      <c r="AU18" s="203">
        <f t="shared" si="10"/>
        <v>38333.842855856732</v>
      </c>
      <c r="AV18" s="203">
        <f t="shared" si="10"/>
        <v>42518.160651071681</v>
      </c>
      <c r="AW18" s="203">
        <f t="shared" si="10"/>
        <v>47161.295182408452</v>
      </c>
      <c r="AX18" s="203">
        <f t="shared" si="10"/>
        <v>52313.650670879622</v>
      </c>
      <c r="AY18" s="203">
        <f t="shared" si="10"/>
        <v>58031.172848910886</v>
      </c>
      <c r="AZ18" s="203">
        <f t="shared" si="10"/>
        <v>64375.958393716151</v>
      </c>
      <c r="BA18" s="203">
        <f t="shared" si="10"/>
        <v>71416.931392364131</v>
      </c>
      <c r="BB18" s="203">
        <f t="shared" si="10"/>
        <v>79230.594211753632</v>
      </c>
      <c r="BC18" s="203">
        <f t="shared" si="10"/>
        <v>87901.860957756333</v>
      </c>
      <c r="BD18" s="203">
        <f t="shared" si="10"/>
        <v>97524.98260804126</v>
      </c>
      <c r="BE18" s="203">
        <f t="shared" si="10"/>
        <v>108204.57390237944</v>
      </c>
      <c r="BF18" s="203">
        <f t="shared" si="10"/>
        <v>120056.75318343025</v>
      </c>
      <c r="BG18" s="165"/>
    </row>
    <row r="19" spans="3:59" ht="15" customHeight="1" x14ac:dyDescent="0.2">
      <c r="C19" s="402" t="s">
        <v>280</v>
      </c>
      <c r="D19" s="403"/>
      <c r="E19" s="404"/>
      <c r="F19" s="204" t="s">
        <v>132</v>
      </c>
      <c r="G19" s="205">
        <f>(ОСББ!J28)/1000</f>
        <v>308.91510000000005</v>
      </c>
      <c r="H19" s="205">
        <f>IF(SUM(G19)*G10=0,"-",SUM(G19)*G10)</f>
        <v>463.37265000000008</v>
      </c>
      <c r="I19" s="205">
        <f>IF(SUM(G19)*H10=0,"-",SUM(G19)*H10)</f>
        <v>695.05897500000015</v>
      </c>
      <c r="J19" s="205">
        <f>IF(SUM(G19)*I10=0,"-",SUM(G19)*I10)</f>
        <v>785.41664174999994</v>
      </c>
      <c r="K19" s="205">
        <f>IF(SUM(G19)*J10=0,"-",SUM(G19)*J10)</f>
        <v>879.66663876000007</v>
      </c>
      <c r="L19" s="205">
        <f>IF(SUM(G19)*K10=0,"-",SUM(G19)*K10)</f>
        <v>980.82830221740016</v>
      </c>
      <c r="M19" s="205">
        <f>IF(SUM(G19)*L10=0,"-",SUM(G19)*L10)</f>
        <v>1088.7194154613144</v>
      </c>
      <c r="N19" s="205">
        <f>IF(SUM(G19)*M10=0,"-",SUM(G19)*M10)</f>
        <v>1208.4785511620589</v>
      </c>
      <c r="O19" s="205">
        <f>IF(SUM(G19)*N10=0,"-",SUM(G19)*N10)</f>
        <v>1341.4111917898856</v>
      </c>
      <c r="P19" s="205">
        <f>IF(SUM(G19)*O10=0,"-",SUM(G19)*O10)</f>
        <v>1488.9664228867732</v>
      </c>
      <c r="Q19" s="205">
        <f>IF(SUM(G19)*P10=0,"-",SUM(G19)*P10)</f>
        <v>1652.7527294043184</v>
      </c>
      <c r="R19" s="205">
        <f>IF(SUM(G19)*Q10=0,"-",SUM(G19)*Q10)</f>
        <v>1834.5555296387936</v>
      </c>
      <c r="S19" s="205">
        <f>IF(SUM(G19)*R10=0,"-",SUM(G19)*R10)</f>
        <v>2036.3566378990611</v>
      </c>
      <c r="T19" s="205">
        <f>IF(SUM(G19)*S10=0,"-",SUM(G19)*S10)</f>
        <v>2260.355868067958</v>
      </c>
      <c r="U19" s="205">
        <f>IF(SUM(G19)*T10=0,"-",SUM(G19)*T10)</f>
        <v>2508.9950135554336</v>
      </c>
      <c r="V19" s="205">
        <f>IF(SUM(G19)*U10=0,"-",SUM(G19)*U10)</f>
        <v>2784.9844650465316</v>
      </c>
      <c r="W19" s="205">
        <f>IF(SUM(G19)*V10=0,"-",SUM(G19)*V10)</f>
        <v>3091.3327562016502</v>
      </c>
      <c r="X19" s="205">
        <f>IF(SUM(G19)*W10=0,"-",SUM(G19)*W10)</f>
        <v>3431.3793593838323</v>
      </c>
      <c r="Y19" s="205">
        <f>IF(SUM(G19)*X10=0,"-",SUM(G19)*X10)</f>
        <v>3808.8310889160543</v>
      </c>
      <c r="Z19" s="206">
        <f>IF(SUM(G19)*Y10=0,"-",SUM(G19)*Y10)</f>
        <v>4227.802508696821</v>
      </c>
      <c r="AA19" s="207">
        <f t="shared" ref="AA19:BF19" si="11">IF(SUM($G$19)*Z10=0,"-",SUM($G$19)*Z10)</f>
        <v>4692.8607846534715</v>
      </c>
      <c r="AB19" s="207">
        <f t="shared" si="11"/>
        <v>5209.0754709653538</v>
      </c>
      <c r="AC19" s="207">
        <f t="shared" si="11"/>
        <v>5782.0737727715432</v>
      </c>
      <c r="AD19" s="207">
        <f t="shared" si="11"/>
        <v>6418.1018877764127</v>
      </c>
      <c r="AE19" s="207">
        <f t="shared" si="11"/>
        <v>7124.0930954318183</v>
      </c>
      <c r="AF19" s="207">
        <f t="shared" si="11"/>
        <v>7907.7433359293191</v>
      </c>
      <c r="AG19" s="207">
        <f t="shared" si="11"/>
        <v>8777.5951028815452</v>
      </c>
      <c r="AH19" s="207">
        <f t="shared" si="11"/>
        <v>9743.1305641985164</v>
      </c>
      <c r="AI19" s="207">
        <f t="shared" si="11"/>
        <v>10814.874926260354</v>
      </c>
      <c r="AJ19" s="207">
        <f t="shared" si="11"/>
        <v>12004.511168148994</v>
      </c>
      <c r="AK19" s="207">
        <f t="shared" si="11"/>
        <v>13325.007396645386</v>
      </c>
      <c r="AL19" s="207">
        <f t="shared" si="11"/>
        <v>14790.758210276377</v>
      </c>
      <c r="AM19" s="207">
        <f t="shared" si="11"/>
        <v>16417.741613406783</v>
      </c>
      <c r="AN19" s="207">
        <f t="shared" si="11"/>
        <v>18223.693190881528</v>
      </c>
      <c r="AO19" s="207">
        <f t="shared" si="11"/>
        <v>20228.299441878495</v>
      </c>
      <c r="AP19" s="207">
        <f t="shared" si="11"/>
        <v>22453.412380485133</v>
      </c>
      <c r="AQ19" s="207">
        <f t="shared" si="11"/>
        <v>24923.2877423385</v>
      </c>
      <c r="AR19" s="207">
        <f t="shared" si="11"/>
        <v>27664.849393995737</v>
      </c>
      <c r="AS19" s="207">
        <f t="shared" si="11"/>
        <v>30707.982827335272</v>
      </c>
      <c r="AT19" s="207">
        <f t="shared" si="11"/>
        <v>34085.860938342157</v>
      </c>
      <c r="AU19" s="207">
        <f t="shared" si="11"/>
        <v>37835.305641559789</v>
      </c>
      <c r="AV19" s="207">
        <f t="shared" si="11"/>
        <v>41997.189262131375</v>
      </c>
      <c r="AW19" s="207">
        <f t="shared" si="11"/>
        <v>46616.880080965828</v>
      </c>
      <c r="AX19" s="207">
        <f t="shared" si="11"/>
        <v>51744.736889872082</v>
      </c>
      <c r="AY19" s="207">
        <f t="shared" si="11"/>
        <v>57436.657947758009</v>
      </c>
      <c r="AZ19" s="207">
        <f t="shared" si="11"/>
        <v>63754.690322011396</v>
      </c>
      <c r="BA19" s="207">
        <f t="shared" si="11"/>
        <v>70767.706257432656</v>
      </c>
      <c r="BB19" s="207">
        <f t="shared" si="11"/>
        <v>78552.153945750251</v>
      </c>
      <c r="BC19" s="207">
        <f t="shared" si="11"/>
        <v>87192.89087978279</v>
      </c>
      <c r="BD19" s="207">
        <f t="shared" si="11"/>
        <v>96784.108876558908</v>
      </c>
      <c r="BE19" s="207">
        <f t="shared" si="11"/>
        <v>107430.36085298039</v>
      </c>
      <c r="BF19" s="207">
        <f t="shared" si="11"/>
        <v>119247.70054680824</v>
      </c>
      <c r="BG19" s="165"/>
    </row>
    <row r="20" spans="3:59" ht="15" customHeight="1" x14ac:dyDescent="0.2">
      <c r="C20" s="402" t="s">
        <v>279</v>
      </c>
      <c r="D20" s="403"/>
      <c r="E20" s="404"/>
      <c r="F20" s="204" t="s">
        <v>132</v>
      </c>
      <c r="G20" s="205">
        <f>(ОСББ!J29+ОСББ!J30)/1000</f>
        <v>38.589498272</v>
      </c>
      <c r="H20" s="205">
        <f>IF(SUM(G20)*G12=0,"-",SUM(G20)*G12)</f>
        <v>57.884247408</v>
      </c>
      <c r="I20" s="205">
        <f>IF(SUM(G20)*H12=0,"-",SUM(G20)*H12)</f>
        <v>86.826371112000004</v>
      </c>
      <c r="J20" s="205">
        <f>IF(SUM(G20)*I12=0,"-",SUM(G20)*I12)</f>
        <v>94.206612656520008</v>
      </c>
      <c r="K20" s="205">
        <f>IF(SUM(G20)*J12=0,"-",SUM(G20)*J12)</f>
        <v>102.2141747323242</v>
      </c>
      <c r="L20" s="205">
        <f>IF(SUM(G20)*K12=0,"-",SUM(G20)*K12)</f>
        <v>106.81381259527878</v>
      </c>
      <c r="M20" s="205">
        <f>IF(SUM(G20)*L12=0,"-",SUM(G20)*L12)</f>
        <v>111.62043416206632</v>
      </c>
      <c r="N20" s="205">
        <f>IF(SUM(G20)*M12=0,"-",SUM(G20)*M12)</f>
        <v>116.6433536993593</v>
      </c>
      <c r="O20" s="205">
        <f>IF(SUM(G20)*N12=0,"-",SUM(G20)*N12)</f>
        <v>121.89230461583044</v>
      </c>
      <c r="P20" s="205">
        <f>IF(SUM(G20)*O12=0,"-",SUM(G20)*O12)</f>
        <v>127.37745832354281</v>
      </c>
      <c r="Q20" s="205">
        <f>IF(SUM(G20)*P12=0,"-",SUM(G20)*P12)</f>
        <v>133.10944394810221</v>
      </c>
      <c r="R20" s="205">
        <f>IF(SUM(G20)*Q12=0,"-",SUM(G20)*Q12)</f>
        <v>139.09936892576681</v>
      </c>
      <c r="S20" s="205">
        <f>IF(SUM(G20)*R12=0,"-",SUM(G20)*R12)</f>
        <v>145.35884052742628</v>
      </c>
      <c r="T20" s="205">
        <f>IF(SUM(G20)*S12=0,"-",SUM(G20)*S12)</f>
        <v>151.89998835116049</v>
      </c>
      <c r="U20" s="205">
        <f>IF(SUM(G20)*T12=0,"-",SUM(G20)*T12)</f>
        <v>158.7354878269627</v>
      </c>
      <c r="V20" s="205">
        <f>IF(SUM(G20)*U12=0,"-",SUM(G20)*U12)</f>
        <v>165.87858477917601</v>
      </c>
      <c r="W20" s="205">
        <f>IF(SUM(G20)*V12=0,"-",SUM(G20)*V12)</f>
        <v>173.34312109423891</v>
      </c>
      <c r="X20" s="205">
        <f>IF(SUM(G20)*W12=0,"-",SUM(G20)*W12)</f>
        <v>181.14356154347965</v>
      </c>
      <c r="Y20" s="205">
        <f>IF(SUM(G20)*X12=0,"-",SUM(G20)*X12)</f>
        <v>189.2950218129362</v>
      </c>
      <c r="Z20" s="206">
        <f>IF(SUM(G20)*Y12=0,"-",SUM(G20)*Y12)</f>
        <v>197.81329779451832</v>
      </c>
      <c r="AA20" s="207">
        <f t="shared" ref="AA20:BF20" si="12">IF(SUM($G$20)*Z12=0,"-",SUM($G$20)*Z12)</f>
        <v>206.71489619527165</v>
      </c>
      <c r="AB20" s="207">
        <f t="shared" si="12"/>
        <v>216.01706652405886</v>
      </c>
      <c r="AC20" s="207">
        <f t="shared" si="12"/>
        <v>225.73783451764152</v>
      </c>
      <c r="AD20" s="207">
        <f t="shared" si="12"/>
        <v>235.89603707093536</v>
      </c>
      <c r="AE20" s="207">
        <f t="shared" si="12"/>
        <v>246.51135873912742</v>
      </c>
      <c r="AF20" s="207">
        <f t="shared" si="12"/>
        <v>257.60436988238814</v>
      </c>
      <c r="AG20" s="207">
        <f t="shared" si="12"/>
        <v>269.19656652709557</v>
      </c>
      <c r="AH20" s="207">
        <f t="shared" si="12"/>
        <v>281.31041202081485</v>
      </c>
      <c r="AI20" s="207">
        <f t="shared" si="12"/>
        <v>293.96938056175151</v>
      </c>
      <c r="AJ20" s="207">
        <f t="shared" si="12"/>
        <v>307.19800268703028</v>
      </c>
      <c r="AK20" s="207">
        <f t="shared" si="12"/>
        <v>321.02191280794659</v>
      </c>
      <c r="AL20" s="207">
        <f t="shared" si="12"/>
        <v>335.46789888430419</v>
      </c>
      <c r="AM20" s="207">
        <f t="shared" si="12"/>
        <v>350.56395433409784</v>
      </c>
      <c r="AN20" s="207">
        <f t="shared" si="12"/>
        <v>366.33933227913224</v>
      </c>
      <c r="AO20" s="207">
        <f t="shared" si="12"/>
        <v>382.82460223169312</v>
      </c>
      <c r="AP20" s="207">
        <f t="shared" si="12"/>
        <v>400.05170933211929</v>
      </c>
      <c r="AQ20" s="207">
        <f t="shared" si="12"/>
        <v>418.05403625206463</v>
      </c>
      <c r="AR20" s="207">
        <f t="shared" si="12"/>
        <v>436.86646788340749</v>
      </c>
      <c r="AS20" s="207">
        <f t="shared" si="12"/>
        <v>456.52545893816085</v>
      </c>
      <c r="AT20" s="207">
        <f t="shared" si="12"/>
        <v>477.069104590378</v>
      </c>
      <c r="AU20" s="207">
        <f t="shared" si="12"/>
        <v>498.53721429694502</v>
      </c>
      <c r="AV20" s="207">
        <f t="shared" si="12"/>
        <v>520.97138894030752</v>
      </c>
      <c r="AW20" s="207">
        <f t="shared" si="12"/>
        <v>544.41510144262134</v>
      </c>
      <c r="AX20" s="207">
        <f t="shared" si="12"/>
        <v>568.91378100753923</v>
      </c>
      <c r="AY20" s="207">
        <f t="shared" si="12"/>
        <v>594.51490115287845</v>
      </c>
      <c r="AZ20" s="207">
        <f t="shared" si="12"/>
        <v>621.26807170475797</v>
      </c>
      <c r="BA20" s="207">
        <f t="shared" si="12"/>
        <v>649.22513493147198</v>
      </c>
      <c r="BB20" s="207">
        <f t="shared" si="12"/>
        <v>678.44026600338816</v>
      </c>
      <c r="BC20" s="207">
        <f t="shared" si="12"/>
        <v>708.97007797354058</v>
      </c>
      <c r="BD20" s="207">
        <f t="shared" si="12"/>
        <v>740.87373148234974</v>
      </c>
      <c r="BE20" s="207">
        <f t="shared" si="12"/>
        <v>774.21304939905554</v>
      </c>
      <c r="BF20" s="207">
        <f t="shared" si="12"/>
        <v>809.05263662201298</v>
      </c>
      <c r="BG20" s="165"/>
    </row>
    <row r="21" spans="3:59" ht="15" customHeight="1" x14ac:dyDescent="0.2">
      <c r="C21" s="373" t="s">
        <v>278</v>
      </c>
      <c r="D21" s="374"/>
      <c r="E21" s="375"/>
      <c r="F21" s="346" t="s">
        <v>132</v>
      </c>
      <c r="G21" s="317">
        <v>0</v>
      </c>
      <c r="H21" s="317" t="str">
        <f>IF(SUM(G21)*G10=0,"-",SUM(G21)*G10)</f>
        <v>-</v>
      </c>
      <c r="I21" s="367" t="str">
        <f>IF(SUM(G21)*H10=0,"-",SUM(G21)*H10)</f>
        <v>-</v>
      </c>
      <c r="J21" s="367" t="str">
        <f>IF(SUM(G21)*I10=0,"-",SUM(G21)*I10)</f>
        <v>-</v>
      </c>
      <c r="K21" s="367" t="str">
        <f>IF(SUM(G21)*J10=0,"-",SUM(G21)*J10)</f>
        <v>-</v>
      </c>
      <c r="L21" s="367" t="str">
        <f>IF(SUM(G21)*K10=0,"-",SUM(G21)*K10)</f>
        <v>-</v>
      </c>
      <c r="M21" s="367" t="str">
        <f>IF(SUM(G21)*L10=0,"-",SUM(G21)*L10)</f>
        <v>-</v>
      </c>
      <c r="N21" s="367" t="str">
        <f>IF(SUM(G21)*M10=0,"-",SUM(G21)*M10)</f>
        <v>-</v>
      </c>
      <c r="O21" s="367" t="str">
        <f>IF(SUM(G21)*N10=0,"-",SUM(G21)*N10)</f>
        <v>-</v>
      </c>
      <c r="P21" s="367" t="str">
        <f>IF(SUM(G21)*O10=0,"-",SUM(G21)*O10)</f>
        <v>-</v>
      </c>
      <c r="Q21" s="367" t="str">
        <f>IF(SUM(G21)*P10=0,"-",SUM(G21)*P10)</f>
        <v>-</v>
      </c>
      <c r="R21" s="367" t="str">
        <f>IF(SUM(G21)*Q10=0,"-",SUM(G21)*Q10)</f>
        <v>-</v>
      </c>
      <c r="S21" s="367" t="str">
        <f>IF(SUM(G21)*R10=0,"-",SUM(G21)*R10)</f>
        <v>-</v>
      </c>
      <c r="T21" s="367" t="str">
        <f>IF(SUM(G21)*S10=0,"-",SUM(G21)*S10)</f>
        <v>-</v>
      </c>
      <c r="U21" s="367" t="str">
        <f>IF(SUM(G21)*T10=0,"-",SUM(G21)*T10)</f>
        <v>-</v>
      </c>
      <c r="V21" s="367" t="str">
        <f>IF(SUM(G21)*U10=0,"-",SUM(G21)*U10)</f>
        <v>-</v>
      </c>
      <c r="W21" s="367" t="str">
        <f>IF(SUM(G21)*V10=0,"-",SUM(G21)*V10)</f>
        <v>-</v>
      </c>
      <c r="X21" s="367" t="str">
        <f>IF(SUM(G21)*W10=0,"-",SUM(G21)*W10)</f>
        <v>-</v>
      </c>
      <c r="Y21" s="367" t="str">
        <f>IF(SUM(G21)*X10=0,"-",SUM(G21)*X10)</f>
        <v>-</v>
      </c>
      <c r="Z21" s="370" t="str">
        <f>IF(SUM(G21)*Y10=0,"-",SUM(G21)*Y10)</f>
        <v>-</v>
      </c>
      <c r="AA21" s="324" t="str">
        <f>IF(SUM(O21)*Z10=0,"-",SUM(O21)*Z10)</f>
        <v>-</v>
      </c>
      <c r="AB21" s="324" t="str">
        <f>IF(SUM(O21)*AA10=0,"-",SUM(O21)*AA10)</f>
        <v>-</v>
      </c>
      <c r="AC21" s="324" t="str">
        <f>IF(SUM(O21)*AB10=0,"-",SUM(O21)*AB10)</f>
        <v>-</v>
      </c>
      <c r="AD21" s="324" t="str">
        <f>IF(SUM(O21)*AC10=0,"-",SUM(O21)*AC10)</f>
        <v>-</v>
      </c>
      <c r="AE21" s="324" t="str">
        <f>IF(SUM(O21)*AD10=0,"-",SUM(O21)*AD10)</f>
        <v>-</v>
      </c>
      <c r="AF21" s="324" t="str">
        <f>IF(SUM(O21)*AE10=0,"-",SUM(O21)*AE10)</f>
        <v>-</v>
      </c>
      <c r="AG21" s="324" t="str">
        <f>IF(SUM(O21)*AF10=0,"-",SUM(O21)*AF10)</f>
        <v>-</v>
      </c>
      <c r="AH21" s="324" t="str">
        <f>IF(SUM(O21)*AG10=0,"-",SUM(O21)*AG10)</f>
        <v>-</v>
      </c>
      <c r="AI21" s="324" t="str">
        <f>IF(SUM(W21)*AH10=0,"-",SUM(W21)*AH10)</f>
        <v>-</v>
      </c>
      <c r="AJ21" s="324" t="str">
        <f>IF(SUM(W21)*AI10=0,"-",SUM(W21)*AI10)</f>
        <v>-</v>
      </c>
      <c r="AK21" s="324" t="str">
        <f>IF(SUM(W21)*AJ10=0,"-",SUM(W21)*AJ10)</f>
        <v>-</v>
      </c>
      <c r="AL21" s="324" t="str">
        <f>IF(SUM(W21)*AK10=0,"-",SUM(W21)*AK10)</f>
        <v>-</v>
      </c>
      <c r="AM21" s="324" t="str">
        <f>IF(SUM(W21)*AL10=0,"-",SUM(W21)*AL10)</f>
        <v>-</v>
      </c>
      <c r="AN21" s="324" t="str">
        <f>IF(SUM(W21)*AM10=0,"-",SUM(W21)*AM10)</f>
        <v>-</v>
      </c>
      <c r="AO21" s="324" t="str">
        <f>IF(SUM(W21)*AN10=0,"-",SUM(W21)*AN10)</f>
        <v>-</v>
      </c>
      <c r="AP21" s="324" t="str">
        <f>IF(SUM(W21)*AO10=0,"-",SUM(W21)*AO10)</f>
        <v>-</v>
      </c>
      <c r="AQ21" s="324" t="str">
        <f>IF(SUM(AE21)*AP10=0,"-",SUM(AE21)*AP10)</f>
        <v>-</v>
      </c>
      <c r="AR21" s="324" t="str">
        <f>IF(SUM(AE21)*AQ10=0,"-",SUM(AE21)*AQ10)</f>
        <v>-</v>
      </c>
      <c r="AS21" s="324" t="str">
        <f>IF(SUM(AE21)*AR10=0,"-",SUM(AE21)*AR10)</f>
        <v>-</v>
      </c>
      <c r="AT21" s="324" t="str">
        <f>IF(SUM(AE21)*AS10=0,"-",SUM(AE21)*AS10)</f>
        <v>-</v>
      </c>
      <c r="AU21" s="324" t="str">
        <f>IF(SUM(AE21)*AT10=0,"-",SUM(AE21)*AT10)</f>
        <v>-</v>
      </c>
      <c r="AV21" s="324" t="str">
        <f>IF(SUM(AE21)*AU10=0,"-",SUM(AE21)*AU10)</f>
        <v>-</v>
      </c>
      <c r="AW21" s="324" t="str">
        <f>IF(SUM(AE21)*AV10=0,"-",SUM(AE21)*AV10)</f>
        <v>-</v>
      </c>
      <c r="AX21" s="324" t="str">
        <f>IF(SUM(AE21)*AW10=0,"-",SUM(AE21)*AW10)</f>
        <v>-</v>
      </c>
      <c r="AY21" s="324" t="str">
        <f>IF(SUM(AM21)*AX10=0,"-",SUM(AM21)*AX10)</f>
        <v>-</v>
      </c>
      <c r="AZ21" s="324" t="str">
        <f>IF(SUM(AM21)*AY10=0,"-",SUM(AM21)*AY10)</f>
        <v>-</v>
      </c>
      <c r="BA21" s="324" t="str">
        <f>IF(SUM(AM21)*AZ10=0,"-",SUM(AM21)*AZ10)</f>
        <v>-</v>
      </c>
      <c r="BB21" s="324" t="str">
        <f>IF(SUM(AM21)*BA10=0,"-",SUM(AM21)*BA10)</f>
        <v>-</v>
      </c>
      <c r="BC21" s="324" t="str">
        <f>IF(SUM(AM21)*BB10=0,"-",SUM(AM21)*BB10)</f>
        <v>-</v>
      </c>
      <c r="BD21" s="324" t="str">
        <f>IF(SUM(AM21)*BC10=0,"-",SUM(AM21)*BC10)</f>
        <v>-</v>
      </c>
      <c r="BE21" s="324" t="str">
        <f>IF(SUM(AM21)*BD10=0,"-",SUM(AM21)*BD10)</f>
        <v>-</v>
      </c>
      <c r="BF21" s="324" t="str">
        <f>IF(SUM(AM21)*BE10=0,"-",SUM(AM21)*BE10)</f>
        <v>-</v>
      </c>
      <c r="BG21" s="165"/>
    </row>
    <row r="22" spans="3:59" ht="15" customHeight="1" x14ac:dyDescent="0.2">
      <c r="C22" s="373"/>
      <c r="D22" s="374"/>
      <c r="E22" s="375"/>
      <c r="F22" s="346"/>
      <c r="G22" s="317"/>
      <c r="H22" s="317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71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165"/>
    </row>
    <row r="23" spans="3:59" ht="15" customHeight="1" x14ac:dyDescent="0.2">
      <c r="C23" s="373"/>
      <c r="D23" s="374"/>
      <c r="E23" s="375"/>
      <c r="F23" s="346"/>
      <c r="G23" s="317"/>
      <c r="H23" s="317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72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165"/>
    </row>
    <row r="24" spans="3:59" ht="15" customHeight="1" x14ac:dyDescent="0.2">
      <c r="C24" s="325" t="s">
        <v>277</v>
      </c>
      <c r="D24" s="326"/>
      <c r="E24" s="327"/>
      <c r="F24" s="376" t="s">
        <v>132</v>
      </c>
      <c r="G24" s="361" t="s">
        <v>132</v>
      </c>
      <c r="H24" s="361" t="s">
        <v>132</v>
      </c>
      <c r="I24" s="361" t="s">
        <v>132</v>
      </c>
      <c r="J24" s="361" t="s">
        <v>132</v>
      </c>
      <c r="K24" s="361" t="s">
        <v>132</v>
      </c>
      <c r="L24" s="361" t="s">
        <v>132</v>
      </c>
      <c r="M24" s="361" t="s">
        <v>132</v>
      </c>
      <c r="N24" s="361" t="s">
        <v>132</v>
      </c>
      <c r="O24" s="361" t="s">
        <v>132</v>
      </c>
      <c r="P24" s="361" t="s">
        <v>132</v>
      </c>
      <c r="Q24" s="361" t="s">
        <v>132</v>
      </c>
      <c r="R24" s="361" t="s">
        <v>132</v>
      </c>
      <c r="S24" s="361" t="s">
        <v>132</v>
      </c>
      <c r="T24" s="361" t="s">
        <v>132</v>
      </c>
      <c r="U24" s="361" t="s">
        <v>132</v>
      </c>
      <c r="V24" s="361" t="s">
        <v>132</v>
      </c>
      <c r="W24" s="361" t="s">
        <v>132</v>
      </c>
      <c r="X24" s="361" t="s">
        <v>132</v>
      </c>
      <c r="Y24" s="361" t="s">
        <v>132</v>
      </c>
      <c r="Z24" s="364" t="s">
        <v>132</v>
      </c>
      <c r="AA24" s="360" t="s">
        <v>132</v>
      </c>
      <c r="AB24" s="360" t="s">
        <v>132</v>
      </c>
      <c r="AC24" s="360" t="s">
        <v>132</v>
      </c>
      <c r="AD24" s="360" t="s">
        <v>132</v>
      </c>
      <c r="AE24" s="360" t="s">
        <v>132</v>
      </c>
      <c r="AF24" s="360" t="s">
        <v>132</v>
      </c>
      <c r="AG24" s="360" t="s">
        <v>132</v>
      </c>
      <c r="AH24" s="360" t="s">
        <v>132</v>
      </c>
      <c r="AI24" s="360" t="s">
        <v>132</v>
      </c>
      <c r="AJ24" s="360" t="s">
        <v>132</v>
      </c>
      <c r="AK24" s="360" t="s">
        <v>132</v>
      </c>
      <c r="AL24" s="360" t="s">
        <v>132</v>
      </c>
      <c r="AM24" s="360" t="s">
        <v>132</v>
      </c>
      <c r="AN24" s="360" t="s">
        <v>132</v>
      </c>
      <c r="AO24" s="360" t="s">
        <v>132</v>
      </c>
      <c r="AP24" s="360" t="s">
        <v>132</v>
      </c>
      <c r="AQ24" s="360" t="s">
        <v>132</v>
      </c>
      <c r="AR24" s="360" t="s">
        <v>132</v>
      </c>
      <c r="AS24" s="360" t="s">
        <v>132</v>
      </c>
      <c r="AT24" s="360" t="s">
        <v>132</v>
      </c>
      <c r="AU24" s="360" t="s">
        <v>132</v>
      </c>
      <c r="AV24" s="360" t="s">
        <v>132</v>
      </c>
      <c r="AW24" s="360" t="s">
        <v>132</v>
      </c>
      <c r="AX24" s="360" t="s">
        <v>132</v>
      </c>
      <c r="AY24" s="360" t="s">
        <v>132</v>
      </c>
      <c r="AZ24" s="360" t="s">
        <v>132</v>
      </c>
      <c r="BA24" s="360" t="s">
        <v>132</v>
      </c>
      <c r="BB24" s="360" t="s">
        <v>132</v>
      </c>
      <c r="BC24" s="360" t="s">
        <v>132</v>
      </c>
      <c r="BD24" s="360" t="s">
        <v>132</v>
      </c>
      <c r="BE24" s="360" t="s">
        <v>132</v>
      </c>
      <c r="BF24" s="360" t="s">
        <v>132</v>
      </c>
      <c r="BG24" s="165"/>
    </row>
    <row r="25" spans="3:59" ht="15" customHeight="1" x14ac:dyDescent="0.2">
      <c r="C25" s="328"/>
      <c r="D25" s="329"/>
      <c r="E25" s="330"/>
      <c r="F25" s="376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5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165"/>
    </row>
    <row r="26" spans="3:59" ht="15" customHeight="1" x14ac:dyDescent="0.2">
      <c r="C26" s="353"/>
      <c r="D26" s="354"/>
      <c r="E26" s="355"/>
      <c r="F26" s="376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6"/>
      <c r="AA26" s="360"/>
      <c r="AB26" s="360"/>
      <c r="AC26" s="360"/>
      <c r="AD26" s="360"/>
      <c r="AE26" s="360"/>
      <c r="AF26" s="360"/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165"/>
    </row>
    <row r="27" spans="3:59" ht="15" customHeight="1" x14ac:dyDescent="0.2">
      <c r="C27" s="325" t="s">
        <v>276</v>
      </c>
      <c r="D27" s="326"/>
      <c r="E27" s="327"/>
      <c r="F27" s="334" t="s">
        <v>132</v>
      </c>
      <c r="G27" s="318">
        <f t="shared" ref="G27:AL27" si="13">SUM(G18)-SUM(G24)</f>
        <v>347.50459827200007</v>
      </c>
      <c r="H27" s="319">
        <f t="shared" si="13"/>
        <v>521.2568974080001</v>
      </c>
      <c r="I27" s="319">
        <f t="shared" si="13"/>
        <v>781.88534611200021</v>
      </c>
      <c r="J27" s="319">
        <f t="shared" si="13"/>
        <v>879.62325440651989</v>
      </c>
      <c r="K27" s="319">
        <f t="shared" si="13"/>
        <v>981.88081349232425</v>
      </c>
      <c r="L27" s="319">
        <f t="shared" si="13"/>
        <v>1087.642114812679</v>
      </c>
      <c r="M27" s="319">
        <f t="shared" si="13"/>
        <v>1200.3398496233808</v>
      </c>
      <c r="N27" s="319">
        <f t="shared" si="13"/>
        <v>1325.1219048614182</v>
      </c>
      <c r="O27" s="319">
        <f t="shared" si="13"/>
        <v>1463.303496405716</v>
      </c>
      <c r="P27" s="319">
        <f t="shared" si="13"/>
        <v>1616.3438812103161</v>
      </c>
      <c r="Q27" s="319">
        <f t="shared" si="13"/>
        <v>1785.8621733524205</v>
      </c>
      <c r="R27" s="319">
        <f t="shared" si="13"/>
        <v>1973.6548985645604</v>
      </c>
      <c r="S27" s="319">
        <f t="shared" si="13"/>
        <v>2181.7154784264872</v>
      </c>
      <c r="T27" s="319">
        <f t="shared" si="13"/>
        <v>2412.2558564191186</v>
      </c>
      <c r="U27" s="319">
        <f t="shared" si="13"/>
        <v>2667.7305013823961</v>
      </c>
      <c r="V27" s="319">
        <f t="shared" si="13"/>
        <v>2950.8630498257075</v>
      </c>
      <c r="W27" s="319">
        <f t="shared" si="13"/>
        <v>3264.6758772958892</v>
      </c>
      <c r="X27" s="319">
        <f t="shared" si="13"/>
        <v>3612.522920927312</v>
      </c>
      <c r="Y27" s="319">
        <f t="shared" si="13"/>
        <v>3998.1261107289906</v>
      </c>
      <c r="Z27" s="322">
        <f t="shared" si="13"/>
        <v>4425.6158064913388</v>
      </c>
      <c r="AA27" s="316">
        <f t="shared" si="13"/>
        <v>4899.5756808487431</v>
      </c>
      <c r="AB27" s="316">
        <f t="shared" si="13"/>
        <v>5425.0925374894123</v>
      </c>
      <c r="AC27" s="316">
        <f t="shared" si="13"/>
        <v>6007.8116072891844</v>
      </c>
      <c r="AD27" s="316">
        <f t="shared" si="13"/>
        <v>6653.9979248473483</v>
      </c>
      <c r="AE27" s="316">
        <f t="shared" si="13"/>
        <v>7370.6044541709452</v>
      </c>
      <c r="AF27" s="316">
        <f t="shared" si="13"/>
        <v>8165.3477058117069</v>
      </c>
      <c r="AG27" s="316">
        <f t="shared" si="13"/>
        <v>9046.7916694086416</v>
      </c>
      <c r="AH27" s="316">
        <f t="shared" si="13"/>
        <v>10024.440976219332</v>
      </c>
      <c r="AI27" s="316">
        <f t="shared" si="13"/>
        <v>11108.844306822106</v>
      </c>
      <c r="AJ27" s="316">
        <f t="shared" si="13"/>
        <v>12311.709170836024</v>
      </c>
      <c r="AK27" s="316">
        <f t="shared" si="13"/>
        <v>13646.029309453332</v>
      </c>
      <c r="AL27" s="316">
        <f t="shared" si="13"/>
        <v>15126.226109160682</v>
      </c>
      <c r="AM27" s="316">
        <f t="shared" ref="AM27:BF27" si="14">SUM(AM18)-SUM(AM24)</f>
        <v>16768.305567740881</v>
      </c>
      <c r="AN27" s="316">
        <f t="shared" si="14"/>
        <v>18590.032523160658</v>
      </c>
      <c r="AO27" s="316">
        <f t="shared" si="14"/>
        <v>20611.124044110187</v>
      </c>
      <c r="AP27" s="316">
        <f t="shared" si="14"/>
        <v>22853.464089817251</v>
      </c>
      <c r="AQ27" s="316">
        <f t="shared" si="14"/>
        <v>25341.341778590566</v>
      </c>
      <c r="AR27" s="316">
        <f t="shared" si="14"/>
        <v>28101.715861879144</v>
      </c>
      <c r="AS27" s="316">
        <f t="shared" si="14"/>
        <v>31164.508286273434</v>
      </c>
      <c r="AT27" s="316">
        <f t="shared" si="14"/>
        <v>34562.930042932538</v>
      </c>
      <c r="AU27" s="316">
        <f t="shared" si="14"/>
        <v>38333.842855856732</v>
      </c>
      <c r="AV27" s="316">
        <f t="shared" si="14"/>
        <v>42518.160651071681</v>
      </c>
      <c r="AW27" s="316">
        <f t="shared" si="14"/>
        <v>47161.295182408452</v>
      </c>
      <c r="AX27" s="316">
        <f t="shared" si="14"/>
        <v>52313.650670879622</v>
      </c>
      <c r="AY27" s="316">
        <f t="shared" si="14"/>
        <v>58031.172848910886</v>
      </c>
      <c r="AZ27" s="316">
        <f t="shared" si="14"/>
        <v>64375.958393716151</v>
      </c>
      <c r="BA27" s="316">
        <f t="shared" si="14"/>
        <v>71416.931392364131</v>
      </c>
      <c r="BB27" s="316">
        <f t="shared" si="14"/>
        <v>79230.594211753632</v>
      </c>
      <c r="BC27" s="316">
        <f t="shared" si="14"/>
        <v>87901.860957756333</v>
      </c>
      <c r="BD27" s="316">
        <f t="shared" si="14"/>
        <v>97524.98260804126</v>
      </c>
      <c r="BE27" s="316">
        <f t="shared" si="14"/>
        <v>108204.57390237944</v>
      </c>
      <c r="BF27" s="316">
        <f t="shared" si="14"/>
        <v>120056.75318343025</v>
      </c>
      <c r="BG27" s="165"/>
    </row>
    <row r="28" spans="3:59" ht="15" customHeight="1" x14ac:dyDescent="0.2">
      <c r="C28" s="328"/>
      <c r="D28" s="329"/>
      <c r="E28" s="330"/>
      <c r="F28" s="334"/>
      <c r="G28" s="31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9"/>
      <c r="AA28" s="316"/>
      <c r="AB28" s="316"/>
      <c r="AC28" s="316"/>
      <c r="AD28" s="316"/>
      <c r="AE28" s="316"/>
      <c r="AF28" s="316"/>
      <c r="AG28" s="316"/>
      <c r="AH28" s="316"/>
      <c r="AI28" s="316"/>
      <c r="AJ28" s="316"/>
      <c r="AK28" s="316"/>
      <c r="AL28" s="316"/>
      <c r="AM28" s="316"/>
      <c r="AN28" s="316"/>
      <c r="AO28" s="316"/>
      <c r="AP28" s="316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165"/>
    </row>
    <row r="29" spans="3:59" ht="15" customHeight="1" x14ac:dyDescent="0.2">
      <c r="C29" s="353"/>
      <c r="D29" s="354"/>
      <c r="E29" s="355"/>
      <c r="F29" s="334"/>
      <c r="G29" s="31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9"/>
      <c r="AA29" s="316"/>
      <c r="AB29" s="316"/>
      <c r="AC29" s="316"/>
      <c r="AD29" s="316"/>
      <c r="AE29" s="316"/>
      <c r="AF29" s="316"/>
      <c r="AG29" s="316"/>
      <c r="AH29" s="316"/>
      <c r="AI29" s="316"/>
      <c r="AJ29" s="316"/>
      <c r="AK29" s="316"/>
      <c r="AL29" s="316"/>
      <c r="AM29" s="316"/>
      <c r="AN29" s="316"/>
      <c r="AO29" s="316"/>
      <c r="AP29" s="316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165"/>
    </row>
    <row r="30" spans="3:59" ht="15" customHeight="1" x14ac:dyDescent="0.2">
      <c r="C30" s="347" t="s">
        <v>272</v>
      </c>
      <c r="D30" s="348"/>
      <c r="E30" s="349"/>
      <c r="F30" s="204" t="s">
        <v>132</v>
      </c>
      <c r="G30" s="205">
        <f>F17/K5</f>
        <v>-193.39826084425252</v>
      </c>
      <c r="H30" s="205">
        <f>F17/K5</f>
        <v>-193.39826084425252</v>
      </c>
      <c r="I30" s="205">
        <f>F17/K5</f>
        <v>-193.39826084425252</v>
      </c>
      <c r="J30" s="205">
        <f>F17/K5</f>
        <v>-193.39826084425252</v>
      </c>
      <c r="K30" s="205">
        <f>F17/K5</f>
        <v>-193.39826084425252</v>
      </c>
      <c r="L30" s="205">
        <f>F17/K5</f>
        <v>-193.39826084425252</v>
      </c>
      <c r="M30" s="205">
        <f>F17/K5</f>
        <v>-193.39826084425252</v>
      </c>
      <c r="N30" s="205">
        <f>F17/K5</f>
        <v>-193.39826084425252</v>
      </c>
      <c r="O30" s="205">
        <f>F17/K5</f>
        <v>-193.39826084425252</v>
      </c>
      <c r="P30" s="205">
        <f>F17/K5</f>
        <v>-193.39826084425252</v>
      </c>
      <c r="Q30" s="205">
        <f>F17/K5</f>
        <v>-193.39826084425252</v>
      </c>
      <c r="R30" s="205">
        <f>F17/K5</f>
        <v>-193.39826084425252</v>
      </c>
      <c r="S30" s="205">
        <f>F17/K5</f>
        <v>-193.39826084425252</v>
      </c>
      <c r="T30" s="205">
        <f>F17/K5</f>
        <v>-193.39826084425252</v>
      </c>
      <c r="U30" s="205">
        <f>F17/K5</f>
        <v>-193.39826084425252</v>
      </c>
      <c r="V30" s="205">
        <f>F17/K5</f>
        <v>-193.39826084425252</v>
      </c>
      <c r="W30" s="205">
        <f>F17/K5</f>
        <v>-193.39826084425252</v>
      </c>
      <c r="X30" s="205">
        <f>F17/K5</f>
        <v>-193.39826084425252</v>
      </c>
      <c r="Y30" s="205">
        <f>F17/K5</f>
        <v>-193.39826084425252</v>
      </c>
      <c r="Z30" s="206">
        <f>F17/K5</f>
        <v>-193.39826084425252</v>
      </c>
      <c r="AA30" s="207">
        <f>F17/K5</f>
        <v>-193.39826084425252</v>
      </c>
      <c r="AB30" s="207">
        <f>F17/K5</f>
        <v>-193.39826084425252</v>
      </c>
      <c r="AC30" s="207">
        <f>F17/K5</f>
        <v>-193.39826084425252</v>
      </c>
      <c r="AD30" s="207">
        <f>F17/K5</f>
        <v>-193.39826084425252</v>
      </c>
      <c r="AE30" s="207">
        <f>F17/K5</f>
        <v>-193.39826084425252</v>
      </c>
      <c r="AF30" s="207">
        <f>F17/K5</f>
        <v>-193.39826084425252</v>
      </c>
      <c r="AG30" s="207">
        <f>F17/K5</f>
        <v>-193.39826084425252</v>
      </c>
      <c r="AH30" s="207">
        <f>F17/K5</f>
        <v>-193.39826084425252</v>
      </c>
      <c r="AI30" s="207">
        <f>F17/K5</f>
        <v>-193.39826084425252</v>
      </c>
      <c r="AJ30" s="207">
        <f>F17/K5</f>
        <v>-193.39826084425252</v>
      </c>
      <c r="AK30" s="207">
        <f>F17/K5</f>
        <v>-193.39826084425252</v>
      </c>
      <c r="AL30" s="207">
        <f>F17/K5</f>
        <v>-193.39826084425252</v>
      </c>
      <c r="AM30" s="207">
        <f>F17/K5</f>
        <v>-193.39826084425252</v>
      </c>
      <c r="AN30" s="207">
        <f>F17/K5</f>
        <v>-193.39826084425252</v>
      </c>
      <c r="AO30" s="207">
        <f>F17/K5</f>
        <v>-193.39826084425252</v>
      </c>
      <c r="AP30" s="207">
        <f>F17/K5</f>
        <v>-193.39826084425252</v>
      </c>
      <c r="AQ30" s="207">
        <f>F17/K5</f>
        <v>-193.39826084425252</v>
      </c>
      <c r="AR30" s="207">
        <f>F17/K5</f>
        <v>-193.39826084425252</v>
      </c>
      <c r="AS30" s="207">
        <f>F17/K5</f>
        <v>-193.39826084425252</v>
      </c>
      <c r="AT30" s="207">
        <f>F17/K5</f>
        <v>-193.39826084425252</v>
      </c>
      <c r="AU30" s="207">
        <f>F17/K5</f>
        <v>-193.39826084425252</v>
      </c>
      <c r="AV30" s="207">
        <f>F17/K5</f>
        <v>-193.39826084425252</v>
      </c>
      <c r="AW30" s="207">
        <f>F17/K5</f>
        <v>-193.39826084425252</v>
      </c>
      <c r="AX30" s="207">
        <f>F17/K5</f>
        <v>-193.39826084425252</v>
      </c>
      <c r="AY30" s="207">
        <f>F17/K5</f>
        <v>-193.39826084425252</v>
      </c>
      <c r="AZ30" s="207">
        <f>F17/K5</f>
        <v>-193.39826084425252</v>
      </c>
      <c r="BA30" s="207">
        <f>F17/K5</f>
        <v>-193.39826084425252</v>
      </c>
      <c r="BB30" s="207">
        <f>F17/K5</f>
        <v>-193.39826084425252</v>
      </c>
      <c r="BC30" s="207">
        <f>F17/K5</f>
        <v>-193.39826084425252</v>
      </c>
      <c r="BD30" s="207">
        <f>F17/K5</f>
        <v>-193.39826084425252</v>
      </c>
      <c r="BE30" s="207">
        <f>F17/K5</f>
        <v>-193.39826084425252</v>
      </c>
      <c r="BF30" s="207">
        <f>F17/K5</f>
        <v>-193.39826084425252</v>
      </c>
      <c r="BG30" s="165"/>
    </row>
    <row r="31" spans="3:59" ht="15" customHeight="1" x14ac:dyDescent="0.2">
      <c r="C31" s="325" t="s">
        <v>275</v>
      </c>
      <c r="D31" s="326"/>
      <c r="E31" s="327"/>
      <c r="F31" s="356" t="s">
        <v>132</v>
      </c>
      <c r="G31" s="318">
        <f t="shared" ref="G31:AL31" si="15">G27+G30</f>
        <v>154.10633742774755</v>
      </c>
      <c r="H31" s="319">
        <f t="shared" si="15"/>
        <v>327.85863656374761</v>
      </c>
      <c r="I31" s="319">
        <f t="shared" si="15"/>
        <v>588.48708526774772</v>
      </c>
      <c r="J31" s="319">
        <f t="shared" si="15"/>
        <v>686.2249935622674</v>
      </c>
      <c r="K31" s="319">
        <f t="shared" si="15"/>
        <v>788.48255264807176</v>
      </c>
      <c r="L31" s="319">
        <f t="shared" si="15"/>
        <v>894.24385396842649</v>
      </c>
      <c r="M31" s="319">
        <f t="shared" si="15"/>
        <v>1006.9415887791283</v>
      </c>
      <c r="N31" s="319">
        <f t="shared" si="15"/>
        <v>1131.7236440171657</v>
      </c>
      <c r="O31" s="319">
        <f t="shared" si="15"/>
        <v>1269.9052355614635</v>
      </c>
      <c r="P31" s="319">
        <f t="shared" si="15"/>
        <v>1422.9456203660636</v>
      </c>
      <c r="Q31" s="319">
        <f t="shared" si="15"/>
        <v>1592.4639125081681</v>
      </c>
      <c r="R31" s="319">
        <f t="shared" si="15"/>
        <v>1780.2566377203079</v>
      </c>
      <c r="S31" s="319">
        <f t="shared" si="15"/>
        <v>1988.3172175822347</v>
      </c>
      <c r="T31" s="319">
        <f t="shared" si="15"/>
        <v>2218.8575955748661</v>
      </c>
      <c r="U31" s="319">
        <f t="shared" si="15"/>
        <v>2474.3322405381437</v>
      </c>
      <c r="V31" s="319">
        <f t="shared" si="15"/>
        <v>2757.4647889814551</v>
      </c>
      <c r="W31" s="319">
        <f t="shared" si="15"/>
        <v>3071.2776164516367</v>
      </c>
      <c r="X31" s="319">
        <f t="shared" si="15"/>
        <v>3419.1246600830596</v>
      </c>
      <c r="Y31" s="319">
        <f t="shared" si="15"/>
        <v>3804.7278498847381</v>
      </c>
      <c r="Z31" s="322">
        <f t="shared" si="15"/>
        <v>4232.2175456470859</v>
      </c>
      <c r="AA31" s="316">
        <f t="shared" si="15"/>
        <v>4706.1774200044902</v>
      </c>
      <c r="AB31" s="316">
        <f t="shared" si="15"/>
        <v>5231.6942766451593</v>
      </c>
      <c r="AC31" s="316">
        <f t="shared" si="15"/>
        <v>5814.4133464449314</v>
      </c>
      <c r="AD31" s="316">
        <f t="shared" si="15"/>
        <v>6460.5996640030953</v>
      </c>
      <c r="AE31" s="316">
        <f t="shared" si="15"/>
        <v>7177.2061933266923</v>
      </c>
      <c r="AF31" s="316">
        <f t="shared" si="15"/>
        <v>7971.9494449674539</v>
      </c>
      <c r="AG31" s="316">
        <f t="shared" si="15"/>
        <v>8853.3934085643887</v>
      </c>
      <c r="AH31" s="316">
        <f t="shared" si="15"/>
        <v>9831.0427153750788</v>
      </c>
      <c r="AI31" s="316">
        <f t="shared" si="15"/>
        <v>10915.446045977853</v>
      </c>
      <c r="AJ31" s="316">
        <f t="shared" si="15"/>
        <v>12118.310909991771</v>
      </c>
      <c r="AK31" s="316">
        <f t="shared" si="15"/>
        <v>13452.631048609079</v>
      </c>
      <c r="AL31" s="316">
        <f t="shared" si="15"/>
        <v>14932.827848316429</v>
      </c>
      <c r="AM31" s="316">
        <f t="shared" ref="AM31:BF31" si="16">AM27+AM30</f>
        <v>16574.907306896628</v>
      </c>
      <c r="AN31" s="316">
        <f t="shared" si="16"/>
        <v>18396.634262316406</v>
      </c>
      <c r="AO31" s="316">
        <f t="shared" si="16"/>
        <v>20417.725783265934</v>
      </c>
      <c r="AP31" s="316">
        <f t="shared" si="16"/>
        <v>22660.065828972998</v>
      </c>
      <c r="AQ31" s="316">
        <f t="shared" si="16"/>
        <v>25147.943517746313</v>
      </c>
      <c r="AR31" s="316">
        <f t="shared" si="16"/>
        <v>27908.317601034891</v>
      </c>
      <c r="AS31" s="316">
        <f t="shared" si="16"/>
        <v>30971.110025429181</v>
      </c>
      <c r="AT31" s="316">
        <f t="shared" si="16"/>
        <v>34369.531782088285</v>
      </c>
      <c r="AU31" s="316">
        <f t="shared" si="16"/>
        <v>38140.444595012479</v>
      </c>
      <c r="AV31" s="316">
        <f t="shared" si="16"/>
        <v>42324.762390227428</v>
      </c>
      <c r="AW31" s="316">
        <f t="shared" si="16"/>
        <v>46967.896921564199</v>
      </c>
      <c r="AX31" s="316">
        <f t="shared" si="16"/>
        <v>52120.252410035369</v>
      </c>
      <c r="AY31" s="316">
        <f t="shared" si="16"/>
        <v>57837.774588066633</v>
      </c>
      <c r="AZ31" s="316">
        <f t="shared" si="16"/>
        <v>64182.560132871899</v>
      </c>
      <c r="BA31" s="316">
        <f t="shared" si="16"/>
        <v>71223.533131519886</v>
      </c>
      <c r="BB31" s="316">
        <f t="shared" si="16"/>
        <v>79037.195950909387</v>
      </c>
      <c r="BC31" s="316">
        <f t="shared" si="16"/>
        <v>87708.462696912087</v>
      </c>
      <c r="BD31" s="316">
        <f t="shared" si="16"/>
        <v>97331.584347197015</v>
      </c>
      <c r="BE31" s="316">
        <f t="shared" si="16"/>
        <v>108011.1756415352</v>
      </c>
      <c r="BF31" s="316">
        <f t="shared" si="16"/>
        <v>119863.354922586</v>
      </c>
      <c r="BG31" s="165"/>
    </row>
    <row r="32" spans="3:59" ht="15" customHeight="1" x14ac:dyDescent="0.2">
      <c r="C32" s="353"/>
      <c r="D32" s="354"/>
      <c r="E32" s="355"/>
      <c r="F32" s="357"/>
      <c r="G32" s="31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9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6"/>
      <c r="AV32" s="316"/>
      <c r="AW32" s="316"/>
      <c r="AX32" s="316"/>
      <c r="AY32" s="316"/>
      <c r="AZ32" s="316"/>
      <c r="BA32" s="316"/>
      <c r="BB32" s="316"/>
      <c r="BC32" s="316"/>
      <c r="BD32" s="316"/>
      <c r="BE32" s="316"/>
      <c r="BF32" s="316"/>
      <c r="BG32" s="165"/>
    </row>
    <row r="33" spans="3:59" ht="15" customHeight="1" x14ac:dyDescent="0.2">
      <c r="C33" s="347" t="s">
        <v>274</v>
      </c>
      <c r="D33" s="348"/>
      <c r="E33" s="349"/>
      <c r="F33" s="204" t="s">
        <v>132</v>
      </c>
      <c r="G33" s="205" t="str">
        <f t="shared" ref="G33:AL33" si="17">IF(G31&gt;0,IF(-G31*G8=0,"-",-G31*G8),"-")</f>
        <v>-</v>
      </c>
      <c r="H33" s="205" t="str">
        <f t="shared" si="17"/>
        <v>-</v>
      </c>
      <c r="I33" s="205" t="str">
        <f t="shared" si="17"/>
        <v>-</v>
      </c>
      <c r="J33" s="205" t="str">
        <f t="shared" si="17"/>
        <v>-</v>
      </c>
      <c r="K33" s="205" t="str">
        <f t="shared" si="17"/>
        <v>-</v>
      </c>
      <c r="L33" s="205" t="str">
        <f t="shared" si="17"/>
        <v>-</v>
      </c>
      <c r="M33" s="205" t="str">
        <f t="shared" si="17"/>
        <v>-</v>
      </c>
      <c r="N33" s="205" t="str">
        <f t="shared" si="17"/>
        <v>-</v>
      </c>
      <c r="O33" s="205" t="str">
        <f t="shared" si="17"/>
        <v>-</v>
      </c>
      <c r="P33" s="205" t="str">
        <f t="shared" si="17"/>
        <v>-</v>
      </c>
      <c r="Q33" s="205" t="str">
        <f t="shared" si="17"/>
        <v>-</v>
      </c>
      <c r="R33" s="205" t="str">
        <f t="shared" si="17"/>
        <v>-</v>
      </c>
      <c r="S33" s="205" t="str">
        <f t="shared" si="17"/>
        <v>-</v>
      </c>
      <c r="T33" s="205" t="str">
        <f t="shared" si="17"/>
        <v>-</v>
      </c>
      <c r="U33" s="205" t="str">
        <f t="shared" si="17"/>
        <v>-</v>
      </c>
      <c r="V33" s="205" t="str">
        <f t="shared" si="17"/>
        <v>-</v>
      </c>
      <c r="W33" s="205" t="str">
        <f t="shared" si="17"/>
        <v>-</v>
      </c>
      <c r="X33" s="205" t="str">
        <f t="shared" si="17"/>
        <v>-</v>
      </c>
      <c r="Y33" s="205" t="str">
        <f t="shared" si="17"/>
        <v>-</v>
      </c>
      <c r="Z33" s="206" t="str">
        <f t="shared" si="17"/>
        <v>-</v>
      </c>
      <c r="AA33" s="207" t="str">
        <f t="shared" si="17"/>
        <v>-</v>
      </c>
      <c r="AB33" s="207" t="str">
        <f t="shared" si="17"/>
        <v>-</v>
      </c>
      <c r="AC33" s="207" t="str">
        <f t="shared" si="17"/>
        <v>-</v>
      </c>
      <c r="AD33" s="207" t="str">
        <f t="shared" si="17"/>
        <v>-</v>
      </c>
      <c r="AE33" s="207" t="str">
        <f t="shared" si="17"/>
        <v>-</v>
      </c>
      <c r="AF33" s="207" t="str">
        <f t="shared" si="17"/>
        <v>-</v>
      </c>
      <c r="AG33" s="207" t="str">
        <f t="shared" si="17"/>
        <v>-</v>
      </c>
      <c r="AH33" s="207" t="str">
        <f t="shared" si="17"/>
        <v>-</v>
      </c>
      <c r="AI33" s="207" t="str">
        <f t="shared" si="17"/>
        <v>-</v>
      </c>
      <c r="AJ33" s="207" t="str">
        <f t="shared" si="17"/>
        <v>-</v>
      </c>
      <c r="AK33" s="207" t="str">
        <f t="shared" si="17"/>
        <v>-</v>
      </c>
      <c r="AL33" s="207" t="str">
        <f t="shared" si="17"/>
        <v>-</v>
      </c>
      <c r="AM33" s="207" t="str">
        <f t="shared" ref="AM33:BF33" si="18">IF(AM31&gt;0,IF(-AM31*AM8=0,"-",-AM31*AM8),"-")</f>
        <v>-</v>
      </c>
      <c r="AN33" s="207" t="str">
        <f t="shared" si="18"/>
        <v>-</v>
      </c>
      <c r="AO33" s="207" t="str">
        <f t="shared" si="18"/>
        <v>-</v>
      </c>
      <c r="AP33" s="207" t="str">
        <f t="shared" si="18"/>
        <v>-</v>
      </c>
      <c r="AQ33" s="207" t="str">
        <f t="shared" si="18"/>
        <v>-</v>
      </c>
      <c r="AR33" s="207" t="str">
        <f t="shared" si="18"/>
        <v>-</v>
      </c>
      <c r="AS33" s="207" t="str">
        <f t="shared" si="18"/>
        <v>-</v>
      </c>
      <c r="AT33" s="207" t="str">
        <f t="shared" si="18"/>
        <v>-</v>
      </c>
      <c r="AU33" s="207" t="str">
        <f t="shared" si="18"/>
        <v>-</v>
      </c>
      <c r="AV33" s="207" t="str">
        <f t="shared" si="18"/>
        <v>-</v>
      </c>
      <c r="AW33" s="207" t="str">
        <f t="shared" si="18"/>
        <v>-</v>
      </c>
      <c r="AX33" s="207" t="str">
        <f t="shared" si="18"/>
        <v>-</v>
      </c>
      <c r="AY33" s="207" t="str">
        <f t="shared" si="18"/>
        <v>-</v>
      </c>
      <c r="AZ33" s="207" t="str">
        <f t="shared" si="18"/>
        <v>-</v>
      </c>
      <c r="BA33" s="207" t="str">
        <f t="shared" si="18"/>
        <v>-</v>
      </c>
      <c r="BB33" s="207" t="str">
        <f t="shared" si="18"/>
        <v>-</v>
      </c>
      <c r="BC33" s="207" t="str">
        <f t="shared" si="18"/>
        <v>-</v>
      </c>
      <c r="BD33" s="207" t="str">
        <f t="shared" si="18"/>
        <v>-</v>
      </c>
      <c r="BE33" s="207" t="str">
        <f t="shared" si="18"/>
        <v>-</v>
      </c>
      <c r="BF33" s="207" t="str">
        <f t="shared" si="18"/>
        <v>-</v>
      </c>
      <c r="BG33" s="165"/>
    </row>
    <row r="34" spans="3:59" ht="15" customHeight="1" x14ac:dyDescent="0.2">
      <c r="C34" s="325" t="s">
        <v>273</v>
      </c>
      <c r="D34" s="326"/>
      <c r="E34" s="327"/>
      <c r="F34" s="334" t="s">
        <v>132</v>
      </c>
      <c r="G34" s="318">
        <f t="shared" ref="G34:AL34" si="19">SUM(G31)+SUM(G33)</f>
        <v>154.10633742774755</v>
      </c>
      <c r="H34" s="319">
        <f t="shared" si="19"/>
        <v>327.85863656374761</v>
      </c>
      <c r="I34" s="319">
        <f t="shared" si="19"/>
        <v>588.48708526774772</v>
      </c>
      <c r="J34" s="319">
        <f t="shared" si="19"/>
        <v>686.2249935622674</v>
      </c>
      <c r="K34" s="319">
        <f t="shared" si="19"/>
        <v>788.48255264807176</v>
      </c>
      <c r="L34" s="319">
        <f t="shared" si="19"/>
        <v>894.24385396842649</v>
      </c>
      <c r="M34" s="319">
        <f t="shared" si="19"/>
        <v>1006.9415887791283</v>
      </c>
      <c r="N34" s="319">
        <f t="shared" si="19"/>
        <v>1131.7236440171657</v>
      </c>
      <c r="O34" s="319">
        <f t="shared" si="19"/>
        <v>1269.9052355614635</v>
      </c>
      <c r="P34" s="319">
        <f t="shared" si="19"/>
        <v>1422.9456203660636</v>
      </c>
      <c r="Q34" s="319">
        <f t="shared" si="19"/>
        <v>1592.4639125081681</v>
      </c>
      <c r="R34" s="319">
        <f t="shared" si="19"/>
        <v>1780.2566377203079</v>
      </c>
      <c r="S34" s="319">
        <f t="shared" si="19"/>
        <v>1988.3172175822347</v>
      </c>
      <c r="T34" s="319">
        <f t="shared" si="19"/>
        <v>2218.8575955748661</v>
      </c>
      <c r="U34" s="319">
        <f t="shared" si="19"/>
        <v>2474.3322405381437</v>
      </c>
      <c r="V34" s="319">
        <f t="shared" si="19"/>
        <v>2757.4647889814551</v>
      </c>
      <c r="W34" s="319">
        <f t="shared" si="19"/>
        <v>3071.2776164516367</v>
      </c>
      <c r="X34" s="319">
        <f t="shared" si="19"/>
        <v>3419.1246600830596</v>
      </c>
      <c r="Y34" s="319">
        <f t="shared" si="19"/>
        <v>3804.7278498847381</v>
      </c>
      <c r="Z34" s="322">
        <f t="shared" si="19"/>
        <v>4232.2175456470859</v>
      </c>
      <c r="AA34" s="316">
        <f t="shared" si="19"/>
        <v>4706.1774200044902</v>
      </c>
      <c r="AB34" s="316">
        <f t="shared" si="19"/>
        <v>5231.6942766451593</v>
      </c>
      <c r="AC34" s="316">
        <f t="shared" si="19"/>
        <v>5814.4133464449314</v>
      </c>
      <c r="AD34" s="316">
        <f t="shared" si="19"/>
        <v>6460.5996640030953</v>
      </c>
      <c r="AE34" s="316">
        <f t="shared" si="19"/>
        <v>7177.2061933266923</v>
      </c>
      <c r="AF34" s="316">
        <f t="shared" si="19"/>
        <v>7971.9494449674539</v>
      </c>
      <c r="AG34" s="316">
        <f t="shared" si="19"/>
        <v>8853.3934085643887</v>
      </c>
      <c r="AH34" s="316">
        <f t="shared" si="19"/>
        <v>9831.0427153750788</v>
      </c>
      <c r="AI34" s="316">
        <f t="shared" si="19"/>
        <v>10915.446045977853</v>
      </c>
      <c r="AJ34" s="316">
        <f t="shared" si="19"/>
        <v>12118.310909991771</v>
      </c>
      <c r="AK34" s="316">
        <f t="shared" si="19"/>
        <v>13452.631048609079</v>
      </c>
      <c r="AL34" s="316">
        <f t="shared" si="19"/>
        <v>14932.827848316429</v>
      </c>
      <c r="AM34" s="316">
        <f t="shared" ref="AM34:BF34" si="20">SUM(AM31)+SUM(AM33)</f>
        <v>16574.907306896628</v>
      </c>
      <c r="AN34" s="316">
        <f t="shared" si="20"/>
        <v>18396.634262316406</v>
      </c>
      <c r="AO34" s="316">
        <f t="shared" si="20"/>
        <v>20417.725783265934</v>
      </c>
      <c r="AP34" s="316">
        <f t="shared" si="20"/>
        <v>22660.065828972998</v>
      </c>
      <c r="AQ34" s="316">
        <f t="shared" si="20"/>
        <v>25147.943517746313</v>
      </c>
      <c r="AR34" s="316">
        <f t="shared" si="20"/>
        <v>27908.317601034891</v>
      </c>
      <c r="AS34" s="316">
        <f t="shared" si="20"/>
        <v>30971.110025429181</v>
      </c>
      <c r="AT34" s="316">
        <f t="shared" si="20"/>
        <v>34369.531782088285</v>
      </c>
      <c r="AU34" s="316">
        <f t="shared" si="20"/>
        <v>38140.444595012479</v>
      </c>
      <c r="AV34" s="316">
        <f t="shared" si="20"/>
        <v>42324.762390227428</v>
      </c>
      <c r="AW34" s="316">
        <f t="shared" si="20"/>
        <v>46967.896921564199</v>
      </c>
      <c r="AX34" s="316">
        <f t="shared" si="20"/>
        <v>52120.252410035369</v>
      </c>
      <c r="AY34" s="316">
        <f t="shared" si="20"/>
        <v>57837.774588066633</v>
      </c>
      <c r="AZ34" s="316">
        <f t="shared" si="20"/>
        <v>64182.560132871899</v>
      </c>
      <c r="BA34" s="316">
        <f t="shared" si="20"/>
        <v>71223.533131519886</v>
      </c>
      <c r="BB34" s="316">
        <f t="shared" si="20"/>
        <v>79037.195950909387</v>
      </c>
      <c r="BC34" s="316">
        <f t="shared" si="20"/>
        <v>87708.462696912087</v>
      </c>
      <c r="BD34" s="316">
        <f t="shared" si="20"/>
        <v>97331.584347197015</v>
      </c>
      <c r="BE34" s="316">
        <f t="shared" si="20"/>
        <v>108011.1756415352</v>
      </c>
      <c r="BF34" s="316">
        <f t="shared" si="20"/>
        <v>119863.354922586</v>
      </c>
      <c r="BG34" s="165"/>
    </row>
    <row r="35" spans="3:59" ht="15" customHeight="1" x14ac:dyDescent="0.2">
      <c r="C35" s="353"/>
      <c r="D35" s="354"/>
      <c r="E35" s="355"/>
      <c r="F35" s="334"/>
      <c r="G35" s="31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9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316"/>
      <c r="AM35" s="316"/>
      <c r="AN35" s="316"/>
      <c r="AO35" s="316"/>
      <c r="AP35" s="316"/>
      <c r="AQ35" s="316"/>
      <c r="AR35" s="316"/>
      <c r="AS35" s="316"/>
      <c r="AT35" s="316"/>
      <c r="AU35" s="316"/>
      <c r="AV35" s="316"/>
      <c r="AW35" s="316"/>
      <c r="AX35" s="316"/>
      <c r="AY35" s="316"/>
      <c r="AZ35" s="316"/>
      <c r="BA35" s="316"/>
      <c r="BB35" s="316"/>
      <c r="BC35" s="316"/>
      <c r="BD35" s="316"/>
      <c r="BE35" s="316"/>
      <c r="BF35" s="316"/>
      <c r="BG35" s="165"/>
    </row>
    <row r="36" spans="3:59" ht="15" customHeight="1" x14ac:dyDescent="0.2">
      <c r="C36" s="347" t="s">
        <v>272</v>
      </c>
      <c r="D36" s="348"/>
      <c r="E36" s="349"/>
      <c r="F36" s="204" t="s">
        <v>132</v>
      </c>
      <c r="G36" s="205">
        <f t="shared" ref="G36:AL36" si="21">-G30</f>
        <v>193.39826084425252</v>
      </c>
      <c r="H36" s="205">
        <f t="shared" si="21"/>
        <v>193.39826084425252</v>
      </c>
      <c r="I36" s="205">
        <f t="shared" si="21"/>
        <v>193.39826084425252</v>
      </c>
      <c r="J36" s="205">
        <f t="shared" si="21"/>
        <v>193.39826084425252</v>
      </c>
      <c r="K36" s="205">
        <f t="shared" si="21"/>
        <v>193.39826084425252</v>
      </c>
      <c r="L36" s="205">
        <f t="shared" si="21"/>
        <v>193.39826084425252</v>
      </c>
      <c r="M36" s="205">
        <f t="shared" si="21"/>
        <v>193.39826084425252</v>
      </c>
      <c r="N36" s="205">
        <f t="shared" si="21"/>
        <v>193.39826084425252</v>
      </c>
      <c r="O36" s="205">
        <f t="shared" si="21"/>
        <v>193.39826084425252</v>
      </c>
      <c r="P36" s="205">
        <f t="shared" si="21"/>
        <v>193.39826084425252</v>
      </c>
      <c r="Q36" s="205">
        <f t="shared" si="21"/>
        <v>193.39826084425252</v>
      </c>
      <c r="R36" s="205">
        <f t="shared" si="21"/>
        <v>193.39826084425252</v>
      </c>
      <c r="S36" s="205">
        <f t="shared" si="21"/>
        <v>193.39826084425252</v>
      </c>
      <c r="T36" s="205">
        <f t="shared" si="21"/>
        <v>193.39826084425252</v>
      </c>
      <c r="U36" s="205">
        <f t="shared" si="21"/>
        <v>193.39826084425252</v>
      </c>
      <c r="V36" s="205">
        <f t="shared" si="21"/>
        <v>193.39826084425252</v>
      </c>
      <c r="W36" s="205">
        <f t="shared" si="21"/>
        <v>193.39826084425252</v>
      </c>
      <c r="X36" s="205">
        <f t="shared" si="21"/>
        <v>193.39826084425252</v>
      </c>
      <c r="Y36" s="205">
        <f t="shared" si="21"/>
        <v>193.39826084425252</v>
      </c>
      <c r="Z36" s="206">
        <f t="shared" si="21"/>
        <v>193.39826084425252</v>
      </c>
      <c r="AA36" s="207">
        <f t="shared" si="21"/>
        <v>193.39826084425252</v>
      </c>
      <c r="AB36" s="207">
        <f t="shared" si="21"/>
        <v>193.39826084425252</v>
      </c>
      <c r="AC36" s="207">
        <f t="shared" si="21"/>
        <v>193.39826084425252</v>
      </c>
      <c r="AD36" s="207">
        <f t="shared" si="21"/>
        <v>193.39826084425252</v>
      </c>
      <c r="AE36" s="207">
        <f t="shared" si="21"/>
        <v>193.39826084425252</v>
      </c>
      <c r="AF36" s="207">
        <f t="shared" si="21"/>
        <v>193.39826084425252</v>
      </c>
      <c r="AG36" s="207">
        <f t="shared" si="21"/>
        <v>193.39826084425252</v>
      </c>
      <c r="AH36" s="207">
        <f t="shared" si="21"/>
        <v>193.39826084425252</v>
      </c>
      <c r="AI36" s="207">
        <f t="shared" si="21"/>
        <v>193.39826084425252</v>
      </c>
      <c r="AJ36" s="207">
        <f t="shared" si="21"/>
        <v>193.39826084425252</v>
      </c>
      <c r="AK36" s="207">
        <f t="shared" si="21"/>
        <v>193.39826084425252</v>
      </c>
      <c r="AL36" s="207">
        <f t="shared" si="21"/>
        <v>193.39826084425252</v>
      </c>
      <c r="AM36" s="207">
        <f t="shared" ref="AM36:BF36" si="22">-AM30</f>
        <v>193.39826084425252</v>
      </c>
      <c r="AN36" s="207">
        <f t="shared" si="22"/>
        <v>193.39826084425252</v>
      </c>
      <c r="AO36" s="207">
        <f t="shared" si="22"/>
        <v>193.39826084425252</v>
      </c>
      <c r="AP36" s="207">
        <f t="shared" si="22"/>
        <v>193.39826084425252</v>
      </c>
      <c r="AQ36" s="207">
        <f t="shared" si="22"/>
        <v>193.39826084425252</v>
      </c>
      <c r="AR36" s="207">
        <f t="shared" si="22"/>
        <v>193.39826084425252</v>
      </c>
      <c r="AS36" s="207">
        <f t="shared" si="22"/>
        <v>193.39826084425252</v>
      </c>
      <c r="AT36" s="207">
        <f t="shared" si="22"/>
        <v>193.39826084425252</v>
      </c>
      <c r="AU36" s="207">
        <f t="shared" si="22"/>
        <v>193.39826084425252</v>
      </c>
      <c r="AV36" s="207">
        <f t="shared" si="22"/>
        <v>193.39826084425252</v>
      </c>
      <c r="AW36" s="207">
        <f t="shared" si="22"/>
        <v>193.39826084425252</v>
      </c>
      <c r="AX36" s="207">
        <f t="shared" si="22"/>
        <v>193.39826084425252</v>
      </c>
      <c r="AY36" s="207">
        <f t="shared" si="22"/>
        <v>193.39826084425252</v>
      </c>
      <c r="AZ36" s="207">
        <f t="shared" si="22"/>
        <v>193.39826084425252</v>
      </c>
      <c r="BA36" s="207">
        <f t="shared" si="22"/>
        <v>193.39826084425252</v>
      </c>
      <c r="BB36" s="207">
        <f t="shared" si="22"/>
        <v>193.39826084425252</v>
      </c>
      <c r="BC36" s="207">
        <f t="shared" si="22"/>
        <v>193.39826084425252</v>
      </c>
      <c r="BD36" s="207">
        <f t="shared" si="22"/>
        <v>193.39826084425252</v>
      </c>
      <c r="BE36" s="207">
        <f t="shared" si="22"/>
        <v>193.39826084425252</v>
      </c>
      <c r="BF36" s="207">
        <f t="shared" si="22"/>
        <v>193.39826084425252</v>
      </c>
      <c r="BG36" s="165"/>
    </row>
    <row r="37" spans="3:59" ht="15" customHeight="1" x14ac:dyDescent="0.2">
      <c r="C37" s="350" t="s">
        <v>271</v>
      </c>
      <c r="D37" s="351"/>
      <c r="E37" s="352"/>
      <c r="F37" s="200">
        <f t="shared" ref="F37:AK37" si="23">F17+SUM(F34:F36)</f>
        <v>-9669.9130422126254</v>
      </c>
      <c r="G37" s="201">
        <f t="shared" si="23"/>
        <v>347.50459827200007</v>
      </c>
      <c r="H37" s="201">
        <f t="shared" si="23"/>
        <v>521.2568974080001</v>
      </c>
      <c r="I37" s="201">
        <f t="shared" si="23"/>
        <v>781.88534611200021</v>
      </c>
      <c r="J37" s="201">
        <f t="shared" si="23"/>
        <v>879.62325440651989</v>
      </c>
      <c r="K37" s="201">
        <f t="shared" si="23"/>
        <v>981.88081349232425</v>
      </c>
      <c r="L37" s="201">
        <f t="shared" si="23"/>
        <v>1087.642114812679</v>
      </c>
      <c r="M37" s="201">
        <f t="shared" si="23"/>
        <v>1200.3398496233808</v>
      </c>
      <c r="N37" s="201">
        <f t="shared" si="23"/>
        <v>1325.1219048614182</v>
      </c>
      <c r="O37" s="201">
        <f t="shared" si="23"/>
        <v>1463.303496405716</v>
      </c>
      <c r="P37" s="201">
        <f t="shared" si="23"/>
        <v>1616.3438812103161</v>
      </c>
      <c r="Q37" s="201">
        <f t="shared" si="23"/>
        <v>1785.8621733524205</v>
      </c>
      <c r="R37" s="201">
        <f t="shared" si="23"/>
        <v>1973.6548985645604</v>
      </c>
      <c r="S37" s="201">
        <f t="shared" si="23"/>
        <v>2181.7154784264872</v>
      </c>
      <c r="T37" s="201">
        <f t="shared" si="23"/>
        <v>2412.2558564191186</v>
      </c>
      <c r="U37" s="201">
        <f t="shared" si="23"/>
        <v>2667.7305013823961</v>
      </c>
      <c r="V37" s="201">
        <f t="shared" si="23"/>
        <v>2950.8630498257075</v>
      </c>
      <c r="W37" s="201">
        <f t="shared" si="23"/>
        <v>3264.6758772958892</v>
      </c>
      <c r="X37" s="201">
        <f t="shared" si="23"/>
        <v>3612.522920927312</v>
      </c>
      <c r="Y37" s="201">
        <f t="shared" si="23"/>
        <v>3998.1261107289906</v>
      </c>
      <c r="Z37" s="202">
        <f t="shared" si="23"/>
        <v>4425.6158064913388</v>
      </c>
      <c r="AA37" s="203">
        <f t="shared" si="23"/>
        <v>4899.5756808487431</v>
      </c>
      <c r="AB37" s="203">
        <f t="shared" si="23"/>
        <v>5425.0925374894123</v>
      </c>
      <c r="AC37" s="203">
        <f t="shared" si="23"/>
        <v>6007.8116072891844</v>
      </c>
      <c r="AD37" s="203">
        <f t="shared" si="23"/>
        <v>6653.9979248473483</v>
      </c>
      <c r="AE37" s="203">
        <f t="shared" si="23"/>
        <v>7370.6044541709452</v>
      </c>
      <c r="AF37" s="203">
        <f t="shared" si="23"/>
        <v>8165.3477058117069</v>
      </c>
      <c r="AG37" s="203">
        <f t="shared" si="23"/>
        <v>9046.7916694086416</v>
      </c>
      <c r="AH37" s="203">
        <f t="shared" si="23"/>
        <v>10024.440976219332</v>
      </c>
      <c r="AI37" s="203">
        <f t="shared" si="23"/>
        <v>11108.844306822106</v>
      </c>
      <c r="AJ37" s="203">
        <f t="shared" si="23"/>
        <v>12311.709170836024</v>
      </c>
      <c r="AK37" s="203">
        <f t="shared" si="23"/>
        <v>13646.029309453332</v>
      </c>
      <c r="AL37" s="203">
        <f t="shared" ref="AL37:BF37" si="24">AL17+SUM(AL34:AL36)</f>
        <v>15126.226109160682</v>
      </c>
      <c r="AM37" s="203">
        <f t="shared" si="24"/>
        <v>16768.305567740881</v>
      </c>
      <c r="AN37" s="203">
        <f t="shared" si="24"/>
        <v>18590.032523160658</v>
      </c>
      <c r="AO37" s="203">
        <f t="shared" si="24"/>
        <v>20611.124044110187</v>
      </c>
      <c r="AP37" s="203">
        <f t="shared" si="24"/>
        <v>22853.464089817251</v>
      </c>
      <c r="AQ37" s="203">
        <f t="shared" si="24"/>
        <v>25341.341778590566</v>
      </c>
      <c r="AR37" s="203">
        <f t="shared" si="24"/>
        <v>28101.715861879144</v>
      </c>
      <c r="AS37" s="203">
        <f t="shared" si="24"/>
        <v>31164.508286273434</v>
      </c>
      <c r="AT37" s="203">
        <f t="shared" si="24"/>
        <v>34562.930042932538</v>
      </c>
      <c r="AU37" s="203">
        <f t="shared" si="24"/>
        <v>38333.842855856732</v>
      </c>
      <c r="AV37" s="203">
        <f t="shared" si="24"/>
        <v>42518.160651071681</v>
      </c>
      <c r="AW37" s="203">
        <f t="shared" si="24"/>
        <v>47161.295182408452</v>
      </c>
      <c r="AX37" s="203">
        <f t="shared" si="24"/>
        <v>52313.650670879622</v>
      </c>
      <c r="AY37" s="203">
        <f t="shared" si="24"/>
        <v>58031.172848910886</v>
      </c>
      <c r="AZ37" s="203">
        <f t="shared" si="24"/>
        <v>64375.958393716151</v>
      </c>
      <c r="BA37" s="203">
        <f t="shared" si="24"/>
        <v>71416.931392364131</v>
      </c>
      <c r="BB37" s="203">
        <f t="shared" si="24"/>
        <v>79230.594211753632</v>
      </c>
      <c r="BC37" s="203">
        <f t="shared" si="24"/>
        <v>87901.860957756333</v>
      </c>
      <c r="BD37" s="203">
        <f t="shared" si="24"/>
        <v>97524.98260804126</v>
      </c>
      <c r="BE37" s="203">
        <f t="shared" si="24"/>
        <v>108204.57390237944</v>
      </c>
      <c r="BF37" s="203">
        <f t="shared" si="24"/>
        <v>120056.75318343025</v>
      </c>
      <c r="BG37" s="165"/>
    </row>
    <row r="38" spans="3:59" ht="15" customHeight="1" x14ac:dyDescent="0.2">
      <c r="C38" s="340" t="s">
        <v>270</v>
      </c>
      <c r="D38" s="341"/>
      <c r="E38" s="342"/>
      <c r="F38" s="346">
        <f t="shared" ref="F38:AK38" si="25">F37*F13</f>
        <v>-9669.9130422126254</v>
      </c>
      <c r="G38" s="317">
        <f t="shared" si="25"/>
        <v>278.00367861760009</v>
      </c>
      <c r="H38" s="317">
        <f t="shared" si="25"/>
        <v>333.60441434112005</v>
      </c>
      <c r="I38" s="317">
        <f t="shared" si="25"/>
        <v>400.32529720934411</v>
      </c>
      <c r="J38" s="317">
        <f t="shared" si="25"/>
        <v>360.29368500491057</v>
      </c>
      <c r="K38" s="317">
        <f t="shared" si="25"/>
        <v>321.74270496516482</v>
      </c>
      <c r="L38" s="317">
        <f t="shared" si="25"/>
        <v>285.11885454545489</v>
      </c>
      <c r="M38" s="317">
        <f t="shared" si="25"/>
        <v>251.72951163173721</v>
      </c>
      <c r="N38" s="317">
        <f t="shared" si="25"/>
        <v>222.31856424191463</v>
      </c>
      <c r="O38" s="317">
        <f t="shared" si="25"/>
        <v>196.40127066203138</v>
      </c>
      <c r="P38" s="317">
        <f t="shared" si="25"/>
        <v>173.55360272220042</v>
      </c>
      <c r="Q38" s="317">
        <f t="shared" si="25"/>
        <v>153.40439259424258</v>
      </c>
      <c r="R38" s="317">
        <f t="shared" si="25"/>
        <v>135.62853188679975</v>
      </c>
      <c r="S38" s="317">
        <f t="shared" si="25"/>
        <v>119.94107685144007</v>
      </c>
      <c r="T38" s="317">
        <f t="shared" si="25"/>
        <v>106.09213453214296</v>
      </c>
      <c r="U38" s="317">
        <f t="shared" si="25"/>
        <v>93.862422593364585</v>
      </c>
      <c r="V38" s="317">
        <f t="shared" si="25"/>
        <v>83.059410822602629</v>
      </c>
      <c r="W38" s="317">
        <f t="shared" si="25"/>
        <v>73.51396532237608</v>
      </c>
      <c r="X38" s="317">
        <f t="shared" si="25"/>
        <v>65.077427522222479</v>
      </c>
      <c r="Y38" s="317">
        <f t="shared" si="25"/>
        <v>57.619069639869863</v>
      </c>
      <c r="Z38" s="337">
        <f t="shared" si="25"/>
        <v>51.023876344318388</v>
      </c>
      <c r="AA38" s="324">
        <f t="shared" si="25"/>
        <v>56.488261658992492</v>
      </c>
      <c r="AB38" s="324">
        <f t="shared" si="25"/>
        <v>50.037646807629358</v>
      </c>
      <c r="AC38" s="324">
        <f t="shared" si="25"/>
        <v>44.329825265090086</v>
      </c>
      <c r="AD38" s="324">
        <f t="shared" si="25"/>
        <v>39.278270971729114</v>
      </c>
      <c r="AE38" s="324">
        <f t="shared" si="25"/>
        <v>34.80669543286659</v>
      </c>
      <c r="AF38" s="324">
        <f t="shared" si="25"/>
        <v>30.847811461521403</v>
      </c>
      <c r="AG38" s="324">
        <f t="shared" si="25"/>
        <v>27.3422500845566</v>
      </c>
      <c r="AH38" s="324">
        <f t="shared" si="25"/>
        <v>24.23761104670886</v>
      </c>
      <c r="AI38" s="324">
        <f t="shared" si="25"/>
        <v>21.487629933753958</v>
      </c>
      <c r="AJ38" s="324">
        <f t="shared" si="25"/>
        <v>19.051447168268655</v>
      </c>
      <c r="AK38" s="324">
        <f t="shared" si="25"/>
        <v>16.892966059434105</v>
      </c>
      <c r="AL38" s="324">
        <f t="shared" ref="AL38:BF38" si="26">AL37*AL13</f>
        <v>14.980288755051136</v>
      </c>
      <c r="AM38" s="324">
        <f t="shared" si="26"/>
        <v>13.28522038609818</v>
      </c>
      <c r="AN38" s="324">
        <f t="shared" si="26"/>
        <v>11.782832943123456</v>
      </c>
      <c r="AO38" s="324">
        <f t="shared" si="26"/>
        <v>10.451081506357907</v>
      </c>
      <c r="AP38" s="324">
        <f t="shared" si="26"/>
        <v>9.2704663906403599</v>
      </c>
      <c r="AQ38" s="324">
        <f t="shared" si="26"/>
        <v>8.2237355817520736</v>
      </c>
      <c r="AR38" s="324">
        <f t="shared" si="26"/>
        <v>7.2956225494536699</v>
      </c>
      <c r="AS38" s="324">
        <f t="shared" si="26"/>
        <v>6.4726151389040059</v>
      </c>
      <c r="AT38" s="324">
        <f t="shared" si="26"/>
        <v>5.7427517786776834</v>
      </c>
      <c r="AU38" s="324">
        <f t="shared" si="26"/>
        <v>5.0954417110024357</v>
      </c>
      <c r="AV38" s="324">
        <f t="shared" si="26"/>
        <v>4.5213063573348071</v>
      </c>
      <c r="AW38" s="324">
        <f t="shared" si="26"/>
        <v>4.0120392879317492</v>
      </c>
      <c r="AX38" s="324">
        <f t="shared" si="26"/>
        <v>3.5602825745124118</v>
      </c>
      <c r="AY38" s="324">
        <f t="shared" si="26"/>
        <v>3.1595175763560794</v>
      </c>
      <c r="AZ38" s="324">
        <f t="shared" si="26"/>
        <v>2.803968447362251</v>
      </c>
      <c r="BA38" s="324">
        <f t="shared" si="26"/>
        <v>2.4885168591282114</v>
      </c>
      <c r="BB38" s="324">
        <f t="shared" si="26"/>
        <v>2.2086266168056161</v>
      </c>
      <c r="BC38" s="324">
        <f t="shared" si="26"/>
        <v>1.960277003695591</v>
      </c>
      <c r="BD38" s="324">
        <f t="shared" si="26"/>
        <v>1.7399038301064469</v>
      </c>
      <c r="BE38" s="324">
        <f t="shared" si="26"/>
        <v>1.5443472844240256</v>
      </c>
      <c r="BF38" s="324">
        <f t="shared" si="26"/>
        <v>1.3708057917985579</v>
      </c>
      <c r="BG38" s="165"/>
    </row>
    <row r="39" spans="3:59" ht="15" customHeight="1" x14ac:dyDescent="0.2">
      <c r="C39" s="343"/>
      <c r="D39" s="344"/>
      <c r="E39" s="345"/>
      <c r="F39" s="346"/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317"/>
      <c r="V39" s="317"/>
      <c r="W39" s="317"/>
      <c r="X39" s="317"/>
      <c r="Y39" s="317"/>
      <c r="Z39" s="337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  <c r="BF39" s="324"/>
      <c r="BG39" s="165"/>
    </row>
    <row r="40" spans="3:59" ht="15" customHeight="1" x14ac:dyDescent="0.2">
      <c r="C40" s="325" t="s">
        <v>269</v>
      </c>
      <c r="D40" s="326"/>
      <c r="E40" s="327"/>
      <c r="F40" s="334">
        <f>F38</f>
        <v>-9669.9130422126254</v>
      </c>
      <c r="G40" s="318">
        <f t="shared" ref="G40:AL40" si="27">F40+G38</f>
        <v>-9391.9093635950248</v>
      </c>
      <c r="H40" s="318">
        <f t="shared" si="27"/>
        <v>-9058.3049492539049</v>
      </c>
      <c r="I40" s="318">
        <f t="shared" si="27"/>
        <v>-8657.9796520445616</v>
      </c>
      <c r="J40" s="318">
        <f t="shared" si="27"/>
        <v>-8297.6859670396516</v>
      </c>
      <c r="K40" s="318">
        <f t="shared" si="27"/>
        <v>-7975.9432620744865</v>
      </c>
      <c r="L40" s="318">
        <f t="shared" si="27"/>
        <v>-7690.8244075290313</v>
      </c>
      <c r="M40" s="318">
        <f t="shared" si="27"/>
        <v>-7439.094895897294</v>
      </c>
      <c r="N40" s="318">
        <f t="shared" si="27"/>
        <v>-7216.7763316553792</v>
      </c>
      <c r="O40" s="318">
        <f t="shared" si="27"/>
        <v>-7020.3750609933477</v>
      </c>
      <c r="P40" s="318">
        <f t="shared" si="27"/>
        <v>-6846.8214582711471</v>
      </c>
      <c r="Q40" s="318">
        <f t="shared" si="27"/>
        <v>-6693.4170656769047</v>
      </c>
      <c r="R40" s="318">
        <f t="shared" si="27"/>
        <v>-6557.7885337901052</v>
      </c>
      <c r="S40" s="318">
        <f t="shared" si="27"/>
        <v>-6437.8474569386653</v>
      </c>
      <c r="T40" s="318">
        <f t="shared" si="27"/>
        <v>-6331.7553224065223</v>
      </c>
      <c r="U40" s="318">
        <f t="shared" si="27"/>
        <v>-6237.8928998131578</v>
      </c>
      <c r="V40" s="318">
        <f t="shared" si="27"/>
        <v>-6154.8334889905555</v>
      </c>
      <c r="W40" s="318">
        <f t="shared" si="27"/>
        <v>-6081.3195236681795</v>
      </c>
      <c r="X40" s="318">
        <f t="shared" si="27"/>
        <v>-6016.2420961459575</v>
      </c>
      <c r="Y40" s="318">
        <f t="shared" si="27"/>
        <v>-5958.6230265060876</v>
      </c>
      <c r="Z40" s="321">
        <f t="shared" si="27"/>
        <v>-5907.5991501617691</v>
      </c>
      <c r="AA40" s="316">
        <f t="shared" si="27"/>
        <v>-5851.110888502777</v>
      </c>
      <c r="AB40" s="316">
        <f t="shared" si="27"/>
        <v>-5801.0732416951478</v>
      </c>
      <c r="AC40" s="316">
        <f t="shared" si="27"/>
        <v>-5756.7434164300576</v>
      </c>
      <c r="AD40" s="316">
        <f t="shared" si="27"/>
        <v>-5717.4651454583282</v>
      </c>
      <c r="AE40" s="316">
        <f t="shared" si="27"/>
        <v>-5682.6584500254612</v>
      </c>
      <c r="AF40" s="316">
        <f t="shared" si="27"/>
        <v>-5651.8106385639394</v>
      </c>
      <c r="AG40" s="316">
        <f t="shared" si="27"/>
        <v>-5624.4683884793831</v>
      </c>
      <c r="AH40" s="316">
        <f t="shared" si="27"/>
        <v>-5600.2307774326746</v>
      </c>
      <c r="AI40" s="316">
        <f t="shared" si="27"/>
        <v>-5578.7431474989207</v>
      </c>
      <c r="AJ40" s="316">
        <f t="shared" si="27"/>
        <v>-5559.6917003306517</v>
      </c>
      <c r="AK40" s="316">
        <f t="shared" si="27"/>
        <v>-5542.7987342712177</v>
      </c>
      <c r="AL40" s="316">
        <f t="shared" si="27"/>
        <v>-5527.8184455161663</v>
      </c>
      <c r="AM40" s="316">
        <f t="shared" ref="AM40:BF40" si="28">AL40+AM38</f>
        <v>-5514.5332251300679</v>
      </c>
      <c r="AN40" s="316">
        <f t="shared" si="28"/>
        <v>-5502.7503921869447</v>
      </c>
      <c r="AO40" s="316">
        <f t="shared" si="28"/>
        <v>-5492.299310680587</v>
      </c>
      <c r="AP40" s="316">
        <f t="shared" si="28"/>
        <v>-5483.0288442899464</v>
      </c>
      <c r="AQ40" s="316">
        <f t="shared" si="28"/>
        <v>-5474.805108708194</v>
      </c>
      <c r="AR40" s="316">
        <f t="shared" si="28"/>
        <v>-5467.5094861587404</v>
      </c>
      <c r="AS40" s="316">
        <f t="shared" si="28"/>
        <v>-5461.0368710198363</v>
      </c>
      <c r="AT40" s="316">
        <f t="shared" si="28"/>
        <v>-5455.294119241159</v>
      </c>
      <c r="AU40" s="316">
        <f t="shared" si="28"/>
        <v>-5450.1986775301566</v>
      </c>
      <c r="AV40" s="316">
        <f t="shared" si="28"/>
        <v>-5445.6773711728219</v>
      </c>
      <c r="AW40" s="316">
        <f t="shared" si="28"/>
        <v>-5441.6653318848903</v>
      </c>
      <c r="AX40" s="316">
        <f t="shared" si="28"/>
        <v>-5438.1050493103776</v>
      </c>
      <c r="AY40" s="316">
        <f t="shared" si="28"/>
        <v>-5434.9455317340216</v>
      </c>
      <c r="AZ40" s="316">
        <f t="shared" si="28"/>
        <v>-5432.1415632866592</v>
      </c>
      <c r="BA40" s="316">
        <f t="shared" si="28"/>
        <v>-5429.6530464275311</v>
      </c>
      <c r="BB40" s="316">
        <f t="shared" si="28"/>
        <v>-5427.4444198107258</v>
      </c>
      <c r="BC40" s="316">
        <f t="shared" si="28"/>
        <v>-5425.4841428070304</v>
      </c>
      <c r="BD40" s="316">
        <f t="shared" si="28"/>
        <v>-5423.744238976924</v>
      </c>
      <c r="BE40" s="316">
        <f t="shared" si="28"/>
        <v>-5422.1998916924995</v>
      </c>
      <c r="BF40" s="316">
        <f t="shared" si="28"/>
        <v>-5420.8290859007011</v>
      </c>
      <c r="BG40" s="165"/>
    </row>
    <row r="41" spans="3:59" ht="15" customHeight="1" x14ac:dyDescent="0.2">
      <c r="C41" s="328"/>
      <c r="D41" s="329"/>
      <c r="E41" s="330"/>
      <c r="F41" s="335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22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6"/>
      <c r="BD41" s="316"/>
      <c r="BE41" s="316"/>
      <c r="BF41" s="316"/>
      <c r="BG41" s="165"/>
    </row>
    <row r="42" spans="3:59" ht="15" customHeight="1" thickBot="1" x14ac:dyDescent="0.25">
      <c r="C42" s="331"/>
      <c r="D42" s="332"/>
      <c r="E42" s="333"/>
      <c r="F42" s="336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3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6"/>
      <c r="BE42" s="316"/>
      <c r="BF42" s="316"/>
      <c r="BG42" s="165"/>
    </row>
    <row r="43" spans="3:59" ht="15" hidden="1" customHeight="1" x14ac:dyDescent="0.2">
      <c r="C43" s="208"/>
      <c r="D43" s="208"/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165"/>
    </row>
    <row r="44" spans="3:59" ht="15" hidden="1" customHeight="1" x14ac:dyDescent="0.2">
      <c r="C44" s="210" t="s">
        <v>268</v>
      </c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</row>
    <row r="45" spans="3:59" ht="15" hidden="1" customHeight="1" x14ac:dyDescent="0.2">
      <c r="G45" s="211">
        <f t="shared" ref="G45:AL45" si="29">IF(AND(G40&gt;0,F40&lt;0),1,IF(AND(G40&gt;0,F40&gt;0),2,0))</f>
        <v>0</v>
      </c>
      <c r="H45" s="212">
        <f t="shared" si="29"/>
        <v>0</v>
      </c>
      <c r="I45" s="212">
        <f t="shared" si="29"/>
        <v>0</v>
      </c>
      <c r="J45" s="212">
        <f t="shared" si="29"/>
        <v>0</v>
      </c>
      <c r="K45" s="212">
        <f t="shared" si="29"/>
        <v>0</v>
      </c>
      <c r="L45" s="212">
        <f t="shared" si="29"/>
        <v>0</v>
      </c>
      <c r="M45" s="212">
        <f t="shared" si="29"/>
        <v>0</v>
      </c>
      <c r="N45" s="212">
        <f t="shared" si="29"/>
        <v>0</v>
      </c>
      <c r="O45" s="212">
        <f t="shared" si="29"/>
        <v>0</v>
      </c>
      <c r="P45" s="212">
        <f t="shared" si="29"/>
        <v>0</v>
      </c>
      <c r="Q45" s="212">
        <f t="shared" si="29"/>
        <v>0</v>
      </c>
      <c r="R45" s="212">
        <f t="shared" si="29"/>
        <v>0</v>
      </c>
      <c r="S45" s="212">
        <f t="shared" si="29"/>
        <v>0</v>
      </c>
      <c r="T45" s="212">
        <f t="shared" si="29"/>
        <v>0</v>
      </c>
      <c r="U45" s="212">
        <f t="shared" si="29"/>
        <v>0</v>
      </c>
      <c r="V45" s="212">
        <f t="shared" si="29"/>
        <v>0</v>
      </c>
      <c r="W45" s="212">
        <f t="shared" si="29"/>
        <v>0</v>
      </c>
      <c r="X45" s="212">
        <f t="shared" si="29"/>
        <v>0</v>
      </c>
      <c r="Y45" s="212">
        <f t="shared" si="29"/>
        <v>0</v>
      </c>
      <c r="Z45" s="213">
        <f t="shared" si="29"/>
        <v>0</v>
      </c>
      <c r="AA45" s="165">
        <f t="shared" si="29"/>
        <v>0</v>
      </c>
      <c r="AB45" s="165">
        <f t="shared" si="29"/>
        <v>0</v>
      </c>
      <c r="AC45" s="165">
        <f t="shared" si="29"/>
        <v>0</v>
      </c>
      <c r="AD45" s="165">
        <f t="shared" si="29"/>
        <v>0</v>
      </c>
      <c r="AE45" s="165">
        <f t="shared" si="29"/>
        <v>0</v>
      </c>
      <c r="AF45" s="165">
        <f t="shared" si="29"/>
        <v>0</v>
      </c>
      <c r="AG45" s="165">
        <f t="shared" si="29"/>
        <v>0</v>
      </c>
      <c r="AH45" s="165">
        <f t="shared" si="29"/>
        <v>0</v>
      </c>
      <c r="AI45" s="165">
        <f t="shared" si="29"/>
        <v>0</v>
      </c>
      <c r="AJ45" s="165">
        <f t="shared" si="29"/>
        <v>0</v>
      </c>
      <c r="AK45" s="165">
        <f t="shared" si="29"/>
        <v>0</v>
      </c>
      <c r="AL45" s="165">
        <f t="shared" si="29"/>
        <v>0</v>
      </c>
      <c r="AM45" s="165">
        <f t="shared" ref="AM45:BF45" si="30">IF(AND(AM40&gt;0,AL40&lt;0),1,IF(AND(AM40&gt;0,AL40&gt;0),2,0))</f>
        <v>0</v>
      </c>
      <c r="AN45" s="165">
        <f t="shared" si="30"/>
        <v>0</v>
      </c>
      <c r="AO45" s="165">
        <f t="shared" si="30"/>
        <v>0</v>
      </c>
      <c r="AP45" s="165">
        <f t="shared" si="30"/>
        <v>0</v>
      </c>
      <c r="AQ45" s="165">
        <f t="shared" si="30"/>
        <v>0</v>
      </c>
      <c r="AR45" s="165">
        <f t="shared" si="30"/>
        <v>0</v>
      </c>
      <c r="AS45" s="165">
        <f t="shared" si="30"/>
        <v>0</v>
      </c>
      <c r="AT45" s="165">
        <f t="shared" si="30"/>
        <v>0</v>
      </c>
      <c r="AU45" s="165">
        <f t="shared" si="30"/>
        <v>0</v>
      </c>
      <c r="AV45" s="165">
        <f t="shared" si="30"/>
        <v>0</v>
      </c>
      <c r="AW45" s="165">
        <f t="shared" si="30"/>
        <v>0</v>
      </c>
      <c r="AX45" s="165">
        <f t="shared" si="30"/>
        <v>0</v>
      </c>
      <c r="AY45" s="165">
        <f t="shared" si="30"/>
        <v>0</v>
      </c>
      <c r="AZ45" s="165">
        <f t="shared" si="30"/>
        <v>0</v>
      </c>
      <c r="BA45" s="165">
        <f t="shared" si="30"/>
        <v>0</v>
      </c>
      <c r="BB45" s="165">
        <f t="shared" si="30"/>
        <v>0</v>
      </c>
      <c r="BC45" s="165">
        <f t="shared" si="30"/>
        <v>0</v>
      </c>
      <c r="BD45" s="165">
        <f t="shared" si="30"/>
        <v>0</v>
      </c>
      <c r="BE45" s="165">
        <f t="shared" si="30"/>
        <v>0</v>
      </c>
      <c r="BF45" s="165">
        <f t="shared" si="30"/>
        <v>0</v>
      </c>
      <c r="BG45" s="165"/>
    </row>
    <row r="46" spans="3:59" ht="15" hidden="1" customHeight="1" x14ac:dyDescent="0.2">
      <c r="G46" s="214">
        <f t="shared" ref="G46:AL46" si="31">-F40/G38</f>
        <v>34.783399594916133</v>
      </c>
      <c r="H46" s="212">
        <f t="shared" si="31"/>
        <v>28.152832995763447</v>
      </c>
      <c r="I46" s="212">
        <f t="shared" si="31"/>
        <v>22.627360829802868</v>
      </c>
      <c r="J46" s="212">
        <f t="shared" si="31"/>
        <v>24.030339726677582</v>
      </c>
      <c r="K46" s="212">
        <f t="shared" si="31"/>
        <v>25.789818507114386</v>
      </c>
      <c r="L46" s="212">
        <f t="shared" si="31"/>
        <v>27.974099695335745</v>
      </c>
      <c r="M46" s="212">
        <f t="shared" si="31"/>
        <v>30.551937902220114</v>
      </c>
      <c r="N46" s="212">
        <f t="shared" si="31"/>
        <v>33.461420197921427</v>
      </c>
      <c r="O46" s="212">
        <f t="shared" si="31"/>
        <v>36.745059272422203</v>
      </c>
      <c r="P46" s="212">
        <f t="shared" si="31"/>
        <v>40.450759597486154</v>
      </c>
      <c r="Q46" s="212">
        <f t="shared" si="31"/>
        <v>44.632499385992908</v>
      </c>
      <c r="R46" s="212">
        <f t="shared" si="31"/>
        <v>49.351098714711895</v>
      </c>
      <c r="S46" s="212">
        <f t="shared" si="31"/>
        <v>54.675084682728269</v>
      </c>
      <c r="T46" s="212">
        <f t="shared" si="31"/>
        <v>60.681665849490251</v>
      </c>
      <c r="U46" s="212">
        <f t="shared" si="31"/>
        <v>67.457829741272121</v>
      </c>
      <c r="V46" s="212">
        <f t="shared" si="31"/>
        <v>75.101578954562783</v>
      </c>
      <c r="W46" s="212">
        <f t="shared" si="31"/>
        <v>83.723323344076988</v>
      </c>
      <c r="X46" s="212">
        <f t="shared" si="31"/>
        <v>93.447447989420681</v>
      </c>
      <c r="Y46" s="212">
        <f t="shared" si="31"/>
        <v>104.41407911909397</v>
      </c>
      <c r="Z46" s="213">
        <f t="shared" si="31"/>
        <v>116.7810729685886</v>
      </c>
      <c r="AA46" s="165">
        <f t="shared" si="31"/>
        <v>104.58100456028683</v>
      </c>
      <c r="AB46" s="165">
        <f t="shared" si="31"/>
        <v>116.93417380312626</v>
      </c>
      <c r="AC46" s="165">
        <f t="shared" si="31"/>
        <v>130.86163112543366</v>
      </c>
      <c r="AD46" s="165">
        <f t="shared" si="31"/>
        <v>146.56305570511302</v>
      </c>
      <c r="AE46" s="165">
        <f t="shared" si="31"/>
        <v>164.26337158280046</v>
      </c>
      <c r="AF46" s="165">
        <f t="shared" si="31"/>
        <v>184.2159356139035</v>
      </c>
      <c r="AG46" s="165">
        <f t="shared" si="31"/>
        <v>206.706127735851</v>
      </c>
      <c r="AH46" s="165">
        <f t="shared" si="31"/>
        <v>232.05539430599575</v>
      </c>
      <c r="AI46" s="165">
        <f t="shared" si="31"/>
        <v>260.62580166812734</v>
      </c>
      <c r="AJ46" s="165">
        <f t="shared" si="31"/>
        <v>292.82516431563567</v>
      </c>
      <c r="AK46" s="165">
        <f t="shared" si="31"/>
        <v>329.11282013887472</v>
      </c>
      <c r="AL46" s="165">
        <f t="shared" si="31"/>
        <v>370.0061343879147</v>
      </c>
      <c r="AM46" s="165">
        <f t="shared" ref="AM46:BF46" si="32">-AL40/AM38</f>
        <v>416.08782427881619</v>
      </c>
      <c r="AN46" s="165">
        <f t="shared" si="32"/>
        <v>468.01420776727451</v>
      </c>
      <c r="AO46" s="165">
        <f t="shared" si="32"/>
        <v>526.52449307177926</v>
      </c>
      <c r="AP46" s="165">
        <f t="shared" si="32"/>
        <v>592.45124023379424</v>
      </c>
      <c r="AQ46" s="165">
        <f t="shared" si="32"/>
        <v>666.73214256261178</v>
      </c>
      <c r="AR46" s="165">
        <f t="shared" si="32"/>
        <v>750.42329446144015</v>
      </c>
      <c r="AS46" s="165">
        <f t="shared" si="32"/>
        <v>844.71413313236826</v>
      </c>
      <c r="AT46" s="165">
        <f t="shared" si="32"/>
        <v>950.94426530782175</v>
      </c>
      <c r="AU46" s="165">
        <f t="shared" si="32"/>
        <v>1070.6224167890498</v>
      </c>
      <c r="AV46" s="165">
        <f t="shared" si="32"/>
        <v>1205.447772564323</v>
      </c>
      <c r="AW46" s="165">
        <f t="shared" si="32"/>
        <v>1357.3340090545646</v>
      </c>
      <c r="AX46" s="165">
        <f t="shared" si="32"/>
        <v>1528.4363580691731</v>
      </c>
      <c r="AY46" s="165">
        <f t="shared" si="32"/>
        <v>1721.1820848872214</v>
      </c>
      <c r="AZ46" s="165">
        <f t="shared" si="32"/>
        <v>1938.3048111139706</v>
      </c>
      <c r="BA46" s="165">
        <f t="shared" si="32"/>
        <v>2182.8831672812826</v>
      </c>
      <c r="BB46" s="165">
        <f t="shared" si="32"/>
        <v>2458.3843213302184</v>
      </c>
      <c r="BC46" s="165">
        <f t="shared" si="32"/>
        <v>2768.7129979991068</v>
      </c>
      <c r="BD46" s="165">
        <f t="shared" si="32"/>
        <v>3118.2666817137247</v>
      </c>
      <c r="BE46" s="165">
        <f t="shared" si="32"/>
        <v>3511.9977829337427</v>
      </c>
      <c r="BF46" s="165">
        <f t="shared" si="32"/>
        <v>3955.4836462853964</v>
      </c>
      <c r="BG46" s="165"/>
    </row>
    <row r="47" spans="3:59" ht="15" hidden="1" customHeight="1" x14ac:dyDescent="0.2">
      <c r="G47" s="211">
        <f>COUNTIF(G45:BF45,0)</f>
        <v>52</v>
      </c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3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</row>
    <row r="48" spans="3:59" ht="15" hidden="1" customHeight="1" x14ac:dyDescent="0.2">
      <c r="G48" s="214">
        <f t="shared" ref="G48:AL48" si="33">IF(G45=1,G46,0)</f>
        <v>0</v>
      </c>
      <c r="H48" s="214">
        <f t="shared" si="33"/>
        <v>0</v>
      </c>
      <c r="I48" s="214">
        <f t="shared" si="33"/>
        <v>0</v>
      </c>
      <c r="J48" s="214">
        <f t="shared" si="33"/>
        <v>0</v>
      </c>
      <c r="K48" s="214">
        <f t="shared" si="33"/>
        <v>0</v>
      </c>
      <c r="L48" s="214">
        <f t="shared" si="33"/>
        <v>0</v>
      </c>
      <c r="M48" s="214">
        <f t="shared" si="33"/>
        <v>0</v>
      </c>
      <c r="N48" s="214">
        <f t="shared" si="33"/>
        <v>0</v>
      </c>
      <c r="O48" s="214">
        <f t="shared" si="33"/>
        <v>0</v>
      </c>
      <c r="P48" s="214">
        <f t="shared" si="33"/>
        <v>0</v>
      </c>
      <c r="Q48" s="214">
        <f t="shared" si="33"/>
        <v>0</v>
      </c>
      <c r="R48" s="214">
        <f t="shared" si="33"/>
        <v>0</v>
      </c>
      <c r="S48" s="214">
        <f t="shared" si="33"/>
        <v>0</v>
      </c>
      <c r="T48" s="214">
        <f t="shared" si="33"/>
        <v>0</v>
      </c>
      <c r="U48" s="214">
        <f t="shared" si="33"/>
        <v>0</v>
      </c>
      <c r="V48" s="214">
        <f t="shared" si="33"/>
        <v>0</v>
      </c>
      <c r="W48" s="214">
        <f t="shared" si="33"/>
        <v>0</v>
      </c>
      <c r="X48" s="214">
        <f t="shared" si="33"/>
        <v>0</v>
      </c>
      <c r="Y48" s="214">
        <f t="shared" si="33"/>
        <v>0</v>
      </c>
      <c r="Z48" s="215">
        <f t="shared" si="33"/>
        <v>0</v>
      </c>
      <c r="AA48" s="216">
        <f t="shared" si="33"/>
        <v>0</v>
      </c>
      <c r="AB48" s="216">
        <f t="shared" si="33"/>
        <v>0</v>
      </c>
      <c r="AC48" s="216">
        <f t="shared" si="33"/>
        <v>0</v>
      </c>
      <c r="AD48" s="216">
        <f t="shared" si="33"/>
        <v>0</v>
      </c>
      <c r="AE48" s="216">
        <f t="shared" si="33"/>
        <v>0</v>
      </c>
      <c r="AF48" s="216">
        <f t="shared" si="33"/>
        <v>0</v>
      </c>
      <c r="AG48" s="216">
        <f t="shared" si="33"/>
        <v>0</v>
      </c>
      <c r="AH48" s="216">
        <f t="shared" si="33"/>
        <v>0</v>
      </c>
      <c r="AI48" s="216">
        <f t="shared" si="33"/>
        <v>0</v>
      </c>
      <c r="AJ48" s="216">
        <f t="shared" si="33"/>
        <v>0</v>
      </c>
      <c r="AK48" s="216">
        <f t="shared" si="33"/>
        <v>0</v>
      </c>
      <c r="AL48" s="216">
        <f t="shared" si="33"/>
        <v>0</v>
      </c>
      <c r="AM48" s="216">
        <f t="shared" ref="AM48:BF48" si="34">IF(AM45=1,AM46,0)</f>
        <v>0</v>
      </c>
      <c r="AN48" s="216">
        <f t="shared" si="34"/>
        <v>0</v>
      </c>
      <c r="AO48" s="216">
        <f t="shared" si="34"/>
        <v>0</v>
      </c>
      <c r="AP48" s="216">
        <f t="shared" si="34"/>
        <v>0</v>
      </c>
      <c r="AQ48" s="216">
        <f t="shared" si="34"/>
        <v>0</v>
      </c>
      <c r="AR48" s="216">
        <f t="shared" si="34"/>
        <v>0</v>
      </c>
      <c r="AS48" s="216">
        <f t="shared" si="34"/>
        <v>0</v>
      </c>
      <c r="AT48" s="216">
        <f t="shared" si="34"/>
        <v>0</v>
      </c>
      <c r="AU48" s="216">
        <f t="shared" si="34"/>
        <v>0</v>
      </c>
      <c r="AV48" s="216">
        <f t="shared" si="34"/>
        <v>0</v>
      </c>
      <c r="AW48" s="216">
        <f t="shared" si="34"/>
        <v>0</v>
      </c>
      <c r="AX48" s="216">
        <f t="shared" si="34"/>
        <v>0</v>
      </c>
      <c r="AY48" s="216">
        <f t="shared" si="34"/>
        <v>0</v>
      </c>
      <c r="AZ48" s="216">
        <f t="shared" si="34"/>
        <v>0</v>
      </c>
      <c r="BA48" s="216">
        <f t="shared" si="34"/>
        <v>0</v>
      </c>
      <c r="BB48" s="216">
        <f t="shared" si="34"/>
        <v>0</v>
      </c>
      <c r="BC48" s="216">
        <f t="shared" si="34"/>
        <v>0</v>
      </c>
      <c r="BD48" s="216">
        <f t="shared" si="34"/>
        <v>0</v>
      </c>
      <c r="BE48" s="216">
        <f t="shared" si="34"/>
        <v>0</v>
      </c>
      <c r="BF48" s="216">
        <f t="shared" si="34"/>
        <v>0</v>
      </c>
      <c r="BG48" s="165"/>
    </row>
    <row r="49" spans="3:59" ht="15" hidden="1" customHeight="1" x14ac:dyDescent="0.2"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</row>
    <row r="50" spans="3:59" ht="15" hidden="1" customHeight="1" x14ac:dyDescent="0.2">
      <c r="C50" s="210" t="s">
        <v>267</v>
      </c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</row>
    <row r="51" spans="3:59" ht="15" hidden="1" customHeight="1" x14ac:dyDescent="0.2">
      <c r="C51" s="301" t="s">
        <v>266</v>
      </c>
      <c r="D51" s="301"/>
      <c r="E51" s="301"/>
      <c r="F51" s="214">
        <f t="shared" ref="F51:AK51" si="35">(SUM(F34)+SUM(F36))*F13</f>
        <v>0</v>
      </c>
      <c r="G51" s="214">
        <f t="shared" si="35"/>
        <v>278.00367861760009</v>
      </c>
      <c r="H51" s="214">
        <f t="shared" si="35"/>
        <v>333.60441434112005</v>
      </c>
      <c r="I51" s="214">
        <f t="shared" si="35"/>
        <v>400.32529720934411</v>
      </c>
      <c r="J51" s="214">
        <f t="shared" si="35"/>
        <v>360.29368500491057</v>
      </c>
      <c r="K51" s="214">
        <f t="shared" si="35"/>
        <v>321.74270496516482</v>
      </c>
      <c r="L51" s="214">
        <f t="shared" si="35"/>
        <v>285.11885454545489</v>
      </c>
      <c r="M51" s="214">
        <f t="shared" si="35"/>
        <v>251.72951163173721</v>
      </c>
      <c r="N51" s="214">
        <f t="shared" si="35"/>
        <v>222.31856424191463</v>
      </c>
      <c r="O51" s="214">
        <f t="shared" si="35"/>
        <v>196.40127066203138</v>
      </c>
      <c r="P51" s="214">
        <f t="shared" si="35"/>
        <v>173.55360272220042</v>
      </c>
      <c r="Q51" s="214">
        <f t="shared" si="35"/>
        <v>153.40439259424258</v>
      </c>
      <c r="R51" s="214">
        <f t="shared" si="35"/>
        <v>135.62853188679975</v>
      </c>
      <c r="S51" s="214">
        <f t="shared" si="35"/>
        <v>119.94107685144007</v>
      </c>
      <c r="T51" s="214">
        <f t="shared" si="35"/>
        <v>106.09213453214296</v>
      </c>
      <c r="U51" s="214">
        <f t="shared" si="35"/>
        <v>93.862422593364585</v>
      </c>
      <c r="V51" s="214">
        <f t="shared" si="35"/>
        <v>83.059410822602629</v>
      </c>
      <c r="W51" s="214">
        <f t="shared" si="35"/>
        <v>73.51396532237608</v>
      </c>
      <c r="X51" s="214">
        <f t="shared" si="35"/>
        <v>65.077427522222479</v>
      </c>
      <c r="Y51" s="214">
        <f t="shared" si="35"/>
        <v>57.619069639869863</v>
      </c>
      <c r="Z51" s="215">
        <f t="shared" si="35"/>
        <v>51.023876344318388</v>
      </c>
      <c r="AA51" s="216">
        <f t="shared" si="35"/>
        <v>56.488261658992492</v>
      </c>
      <c r="AB51" s="216">
        <f t="shared" si="35"/>
        <v>50.037646807629358</v>
      </c>
      <c r="AC51" s="216">
        <f t="shared" si="35"/>
        <v>44.329825265090086</v>
      </c>
      <c r="AD51" s="216">
        <f t="shared" si="35"/>
        <v>39.278270971729114</v>
      </c>
      <c r="AE51" s="216">
        <f t="shared" si="35"/>
        <v>34.80669543286659</v>
      </c>
      <c r="AF51" s="216">
        <f t="shared" si="35"/>
        <v>30.847811461521403</v>
      </c>
      <c r="AG51" s="216">
        <f t="shared" si="35"/>
        <v>27.3422500845566</v>
      </c>
      <c r="AH51" s="216">
        <f t="shared" si="35"/>
        <v>24.23761104670886</v>
      </c>
      <c r="AI51" s="216">
        <f t="shared" si="35"/>
        <v>21.487629933753958</v>
      </c>
      <c r="AJ51" s="216">
        <f t="shared" si="35"/>
        <v>19.051447168268655</v>
      </c>
      <c r="AK51" s="216">
        <f t="shared" si="35"/>
        <v>16.892966059434105</v>
      </c>
      <c r="AL51" s="216">
        <f t="shared" ref="AL51:BF51" si="36">(SUM(AL34)+SUM(AL36))*AL13</f>
        <v>14.980288755051136</v>
      </c>
      <c r="AM51" s="216">
        <f t="shared" si="36"/>
        <v>13.28522038609818</v>
      </c>
      <c r="AN51" s="216">
        <f t="shared" si="36"/>
        <v>11.782832943123456</v>
      </c>
      <c r="AO51" s="216">
        <f t="shared" si="36"/>
        <v>10.451081506357907</v>
      </c>
      <c r="AP51" s="216">
        <f t="shared" si="36"/>
        <v>9.2704663906403599</v>
      </c>
      <c r="AQ51" s="216">
        <f t="shared" si="36"/>
        <v>8.2237355817520736</v>
      </c>
      <c r="AR51" s="216">
        <f t="shared" si="36"/>
        <v>7.2956225494536699</v>
      </c>
      <c r="AS51" s="216">
        <f t="shared" si="36"/>
        <v>6.4726151389040059</v>
      </c>
      <c r="AT51" s="216">
        <f t="shared" si="36"/>
        <v>5.7427517786776834</v>
      </c>
      <c r="AU51" s="216">
        <f t="shared" si="36"/>
        <v>5.0954417110024357</v>
      </c>
      <c r="AV51" s="216">
        <f t="shared" si="36"/>
        <v>4.5213063573348071</v>
      </c>
      <c r="AW51" s="216">
        <f t="shared" si="36"/>
        <v>4.0120392879317492</v>
      </c>
      <c r="AX51" s="216">
        <f t="shared" si="36"/>
        <v>3.5602825745124118</v>
      </c>
      <c r="AY51" s="216">
        <f t="shared" si="36"/>
        <v>3.1595175763560794</v>
      </c>
      <c r="AZ51" s="216">
        <f t="shared" si="36"/>
        <v>2.803968447362251</v>
      </c>
      <c r="BA51" s="216">
        <f t="shared" si="36"/>
        <v>2.4885168591282114</v>
      </c>
      <c r="BB51" s="216">
        <f t="shared" si="36"/>
        <v>2.2086266168056161</v>
      </c>
      <c r="BC51" s="216">
        <f t="shared" si="36"/>
        <v>1.960277003695591</v>
      </c>
      <c r="BD51" s="216">
        <f t="shared" si="36"/>
        <v>1.7399038301064469</v>
      </c>
      <c r="BE51" s="216">
        <f t="shared" si="36"/>
        <v>1.5443472844240256</v>
      </c>
      <c r="BF51" s="216">
        <f t="shared" si="36"/>
        <v>1.3708057917985579</v>
      </c>
      <c r="BG51" s="165"/>
    </row>
    <row r="52" spans="3:59" ht="15" hidden="1" customHeight="1" x14ac:dyDescent="0.2">
      <c r="C52" s="301" t="s">
        <v>265</v>
      </c>
      <c r="D52" s="301"/>
      <c r="E52" s="301"/>
      <c r="F52" s="211">
        <f t="shared" ref="F52:AK52" si="37">F17*F13</f>
        <v>-9669.9130422126254</v>
      </c>
      <c r="G52" s="211">
        <f t="shared" si="37"/>
        <v>0</v>
      </c>
      <c r="H52" s="211">
        <f t="shared" si="37"/>
        <v>0</v>
      </c>
      <c r="I52" s="211">
        <f t="shared" si="37"/>
        <v>0</v>
      </c>
      <c r="J52" s="211">
        <f t="shared" si="37"/>
        <v>0</v>
      </c>
      <c r="K52" s="211">
        <f t="shared" si="37"/>
        <v>0</v>
      </c>
      <c r="L52" s="211">
        <f t="shared" si="37"/>
        <v>0</v>
      </c>
      <c r="M52" s="211">
        <f t="shared" si="37"/>
        <v>0</v>
      </c>
      <c r="N52" s="211">
        <f t="shared" si="37"/>
        <v>0</v>
      </c>
      <c r="O52" s="211">
        <f t="shared" si="37"/>
        <v>0</v>
      </c>
      <c r="P52" s="211">
        <f t="shared" si="37"/>
        <v>0</v>
      </c>
      <c r="Q52" s="211">
        <f t="shared" si="37"/>
        <v>0</v>
      </c>
      <c r="R52" s="211">
        <f t="shared" si="37"/>
        <v>0</v>
      </c>
      <c r="S52" s="211">
        <f t="shared" si="37"/>
        <v>0</v>
      </c>
      <c r="T52" s="211">
        <f t="shared" si="37"/>
        <v>0</v>
      </c>
      <c r="U52" s="211">
        <f t="shared" si="37"/>
        <v>0</v>
      </c>
      <c r="V52" s="211">
        <f t="shared" si="37"/>
        <v>0</v>
      </c>
      <c r="W52" s="211">
        <f t="shared" si="37"/>
        <v>0</v>
      </c>
      <c r="X52" s="211">
        <f t="shared" si="37"/>
        <v>0</v>
      </c>
      <c r="Y52" s="211">
        <f t="shared" si="37"/>
        <v>0</v>
      </c>
      <c r="Z52" s="217">
        <f t="shared" si="37"/>
        <v>0</v>
      </c>
      <c r="AA52" s="218">
        <f t="shared" si="37"/>
        <v>0</v>
      </c>
      <c r="AB52" s="218">
        <f t="shared" si="37"/>
        <v>0</v>
      </c>
      <c r="AC52" s="218">
        <f t="shared" si="37"/>
        <v>0</v>
      </c>
      <c r="AD52" s="218">
        <f t="shared" si="37"/>
        <v>0</v>
      </c>
      <c r="AE52" s="218">
        <f t="shared" si="37"/>
        <v>0</v>
      </c>
      <c r="AF52" s="218">
        <f t="shared" si="37"/>
        <v>0</v>
      </c>
      <c r="AG52" s="218">
        <f t="shared" si="37"/>
        <v>0</v>
      </c>
      <c r="AH52" s="218">
        <f t="shared" si="37"/>
        <v>0</v>
      </c>
      <c r="AI52" s="218">
        <f t="shared" si="37"/>
        <v>0</v>
      </c>
      <c r="AJ52" s="218">
        <f t="shared" si="37"/>
        <v>0</v>
      </c>
      <c r="AK52" s="218">
        <f t="shared" si="37"/>
        <v>0</v>
      </c>
      <c r="AL52" s="218">
        <f t="shared" ref="AL52:BF52" si="38">AL17*AL13</f>
        <v>0</v>
      </c>
      <c r="AM52" s="218">
        <f t="shared" si="38"/>
        <v>0</v>
      </c>
      <c r="AN52" s="218">
        <f t="shared" si="38"/>
        <v>0</v>
      </c>
      <c r="AO52" s="218">
        <f t="shared" si="38"/>
        <v>0</v>
      </c>
      <c r="AP52" s="218">
        <f t="shared" si="38"/>
        <v>0</v>
      </c>
      <c r="AQ52" s="218">
        <f t="shared" si="38"/>
        <v>0</v>
      </c>
      <c r="AR52" s="218">
        <f t="shared" si="38"/>
        <v>0</v>
      </c>
      <c r="AS52" s="218">
        <f t="shared" si="38"/>
        <v>0</v>
      </c>
      <c r="AT52" s="218">
        <f t="shared" si="38"/>
        <v>0</v>
      </c>
      <c r="AU52" s="218">
        <f t="shared" si="38"/>
        <v>0</v>
      </c>
      <c r="AV52" s="218">
        <f t="shared" si="38"/>
        <v>0</v>
      </c>
      <c r="AW52" s="218">
        <f t="shared" si="38"/>
        <v>0</v>
      </c>
      <c r="AX52" s="218">
        <f t="shared" si="38"/>
        <v>0</v>
      </c>
      <c r="AY52" s="218">
        <f t="shared" si="38"/>
        <v>0</v>
      </c>
      <c r="AZ52" s="218">
        <f t="shared" si="38"/>
        <v>0</v>
      </c>
      <c r="BA52" s="218">
        <f t="shared" si="38"/>
        <v>0</v>
      </c>
      <c r="BB52" s="218">
        <f t="shared" si="38"/>
        <v>0</v>
      </c>
      <c r="BC52" s="218">
        <f t="shared" si="38"/>
        <v>0</v>
      </c>
      <c r="BD52" s="218">
        <f t="shared" si="38"/>
        <v>0</v>
      </c>
      <c r="BE52" s="218">
        <f t="shared" si="38"/>
        <v>0</v>
      </c>
      <c r="BF52" s="218">
        <f t="shared" si="38"/>
        <v>0</v>
      </c>
      <c r="BG52" s="165"/>
    </row>
    <row r="53" spans="3:59" ht="15" customHeight="1" thickBot="1" x14ac:dyDescent="0.25"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</row>
    <row r="54" spans="3:59" ht="15" customHeight="1" thickBot="1" x14ac:dyDescent="0.25">
      <c r="C54" s="302" t="s">
        <v>264</v>
      </c>
      <c r="D54" s="303"/>
      <c r="E54" s="303"/>
      <c r="F54" s="303"/>
      <c r="G54" s="303"/>
      <c r="H54" s="303"/>
      <c r="I54" s="304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</row>
    <row r="55" spans="3:59" ht="15" customHeight="1" x14ac:dyDescent="0.2">
      <c r="C55" s="305" t="s">
        <v>263</v>
      </c>
      <c r="D55" s="306"/>
      <c r="E55" s="306"/>
      <c r="F55" s="306"/>
      <c r="G55" s="306"/>
      <c r="H55" s="307" t="s">
        <v>262</v>
      </c>
      <c r="I55" s="308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</row>
    <row r="56" spans="3:59" ht="15" customHeight="1" x14ac:dyDescent="0.2">
      <c r="C56" s="309" t="s">
        <v>261</v>
      </c>
      <c r="D56" s="310"/>
      <c r="E56" s="310"/>
      <c r="F56" s="310"/>
      <c r="G56" s="310"/>
      <c r="H56" s="311">
        <f>K6</f>
        <v>0.25</v>
      </c>
      <c r="I56" s="312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</row>
    <row r="57" spans="3:59" ht="15" customHeight="1" x14ac:dyDescent="0.2">
      <c r="C57" s="309" t="s">
        <v>260</v>
      </c>
      <c r="D57" s="310"/>
      <c r="E57" s="310"/>
      <c r="F57" s="310"/>
      <c r="G57" s="310"/>
      <c r="H57" s="295">
        <f>-SUM(F17:Z17)</f>
        <v>9669.9130422126254</v>
      </c>
      <c r="I57" s="296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</row>
    <row r="58" spans="3:59" ht="15" customHeight="1" x14ac:dyDescent="0.2">
      <c r="C58" s="309" t="s">
        <v>259</v>
      </c>
      <c r="D58" s="310"/>
      <c r="E58" s="310"/>
      <c r="F58" s="310"/>
      <c r="G58" s="310"/>
      <c r="H58" s="295" t="str">
        <f>ROUND(K40,1)&amp;" / "&amp;ROUND(K40/H57,1)</f>
        <v>-7975,9 / -0,8</v>
      </c>
      <c r="I58" s="296"/>
    </row>
    <row r="59" spans="3:59" ht="15" customHeight="1" x14ac:dyDescent="0.2">
      <c r="C59" s="313" t="s">
        <v>258</v>
      </c>
      <c r="D59" s="314"/>
      <c r="E59" s="314"/>
      <c r="F59" s="314"/>
      <c r="G59" s="315"/>
      <c r="H59" s="295" t="str">
        <f>ROUND(P40,1)&amp;" / "&amp;ROUND(P40/H57,1)</f>
        <v>-6846,8 / -0,7</v>
      </c>
      <c r="I59" s="296"/>
    </row>
    <row r="60" spans="3:59" ht="15" customHeight="1" x14ac:dyDescent="0.2">
      <c r="C60" s="313" t="s">
        <v>257</v>
      </c>
      <c r="D60" s="314"/>
      <c r="E60" s="314"/>
      <c r="F60" s="314"/>
      <c r="G60" s="315"/>
      <c r="H60" s="295" t="str">
        <f>ROUND(U40,1)&amp;" / "&amp;ROUND(U40/H57,1)</f>
        <v>-6237,9 / -0,6</v>
      </c>
      <c r="I60" s="296"/>
    </row>
    <row r="61" spans="3:59" ht="15" customHeight="1" x14ac:dyDescent="0.2">
      <c r="C61" s="313" t="s">
        <v>256</v>
      </c>
      <c r="D61" s="314"/>
      <c r="E61" s="314"/>
      <c r="F61" s="314"/>
      <c r="G61" s="315"/>
      <c r="H61" s="295" t="str">
        <f>ROUND(Z40,1)&amp;" / "&amp;ROUND(Z40/H57,1)</f>
        <v>-5907,6 / -0,6</v>
      </c>
      <c r="I61" s="296"/>
      <c r="S61" s="219" t="s">
        <v>255</v>
      </c>
    </row>
    <row r="62" spans="3:59" ht="15" customHeight="1" x14ac:dyDescent="0.2">
      <c r="C62" s="309" t="s">
        <v>254</v>
      </c>
      <c r="D62" s="310"/>
      <c r="E62" s="310"/>
      <c r="F62" s="310"/>
      <c r="G62" s="310"/>
      <c r="H62" s="295">
        <f>SUM(F51:Z51)/-SUM(F52:Z52)</f>
        <v>0.38907422182878104</v>
      </c>
      <c r="I62" s="296"/>
    </row>
    <row r="63" spans="3:59" ht="15" customHeight="1" x14ac:dyDescent="0.2">
      <c r="C63" s="309" t="s">
        <v>253</v>
      </c>
      <c r="D63" s="310"/>
      <c r="E63" s="310"/>
      <c r="F63" s="310"/>
      <c r="G63" s="310"/>
      <c r="H63" s="295">
        <f>-F17/G18</f>
        <v>27.82671967593291</v>
      </c>
      <c r="I63" s="296"/>
    </row>
    <row r="64" spans="3:59" ht="15" customHeight="1" x14ac:dyDescent="0.2">
      <c r="C64" s="309" t="s">
        <v>252</v>
      </c>
      <c r="D64" s="310"/>
      <c r="E64" s="310"/>
      <c r="F64" s="310"/>
      <c r="G64" s="310"/>
      <c r="H64" s="295" t="str">
        <f>IF(SUM(G45:BF45)&gt;0,(SUM(G48:BF48)+G47),"Більше 50 років")</f>
        <v>Більше 50 років</v>
      </c>
      <c r="I64" s="296"/>
    </row>
    <row r="65" spans="3:9" ht="15" thickBot="1" x14ac:dyDescent="0.25">
      <c r="C65" s="297" t="s">
        <v>251</v>
      </c>
      <c r="D65" s="298"/>
      <c r="E65" s="298"/>
      <c r="F65" s="298"/>
      <c r="G65" s="298"/>
      <c r="H65" s="299">
        <f>IRR(F37:Z37)</f>
        <v>0.12281591525816227</v>
      </c>
      <c r="I65" s="300"/>
    </row>
    <row r="66" spans="3:9" x14ac:dyDescent="0.2">
      <c r="C66" s="220"/>
      <c r="D66" s="220"/>
      <c r="E66" s="220"/>
      <c r="F66" s="220"/>
      <c r="G66" s="220"/>
      <c r="H66" s="221"/>
      <c r="I66" s="221"/>
    </row>
    <row r="67" spans="3:9" x14ac:dyDescent="0.2">
      <c r="C67" s="164" t="s">
        <v>250</v>
      </c>
      <c r="D67" s="222" t="str">
        <f>H64</f>
        <v>Більше 50 років</v>
      </c>
    </row>
  </sheetData>
  <mergeCells count="428">
    <mergeCell ref="C18:E18"/>
    <mergeCell ref="C19:E19"/>
    <mergeCell ref="C20:E20"/>
    <mergeCell ref="C8:E8"/>
    <mergeCell ref="C9:E9"/>
    <mergeCell ref="C10:E10"/>
    <mergeCell ref="C11:E11"/>
    <mergeCell ref="C12:E12"/>
    <mergeCell ref="C13:E13"/>
    <mergeCell ref="C15:E15"/>
    <mergeCell ref="C16:E16"/>
    <mergeCell ref="C17:E17"/>
    <mergeCell ref="C2:Z3"/>
    <mergeCell ref="F5:J5"/>
    <mergeCell ref="K5:L5"/>
    <mergeCell ref="N5:R5"/>
    <mergeCell ref="S5:T5"/>
    <mergeCell ref="F6:J6"/>
    <mergeCell ref="K6:L6"/>
    <mergeCell ref="N6:R6"/>
    <mergeCell ref="S6:T6"/>
    <mergeCell ref="C21:E23"/>
    <mergeCell ref="F21:F23"/>
    <mergeCell ref="G21:G23"/>
    <mergeCell ref="C24:E26"/>
    <mergeCell ref="F24:F26"/>
    <mergeCell ref="G24:G26"/>
    <mergeCell ref="H24:H26"/>
    <mergeCell ref="I24:I26"/>
    <mergeCell ref="J24:J26"/>
    <mergeCell ref="H21:H23"/>
    <mergeCell ref="I21:I23"/>
    <mergeCell ref="J21:J23"/>
    <mergeCell ref="BD21:BD23"/>
    <mergeCell ref="BE21:BE23"/>
    <mergeCell ref="BF21:BF23"/>
    <mergeCell ref="AU21:AU23"/>
    <mergeCell ref="AV21:AV23"/>
    <mergeCell ref="AW21:AW23"/>
    <mergeCell ref="AX21:AX23"/>
    <mergeCell ref="AY21:AY23"/>
    <mergeCell ref="AZ21:AZ23"/>
    <mergeCell ref="BA21:BA23"/>
    <mergeCell ref="AF21:AF23"/>
    <mergeCell ref="AG21:AG23"/>
    <mergeCell ref="AH21:AH23"/>
    <mergeCell ref="W21:W23"/>
    <mergeCell ref="X21:X23"/>
    <mergeCell ref="Y21:Y23"/>
    <mergeCell ref="Z21:Z23"/>
    <mergeCell ref="AA21:AA23"/>
    <mergeCell ref="AI21:AI23"/>
    <mergeCell ref="AE21:AE23"/>
    <mergeCell ref="AJ21:AJ23"/>
    <mergeCell ref="AK21:AK23"/>
    <mergeCell ref="AL21:AL23"/>
    <mergeCell ref="AM21:AM23"/>
    <mergeCell ref="AN21:AN23"/>
    <mergeCell ref="BB21:BB23"/>
    <mergeCell ref="BC21:BC23"/>
    <mergeCell ref="AO21:AO23"/>
    <mergeCell ref="AP21:AP23"/>
    <mergeCell ref="AQ21:AQ23"/>
    <mergeCell ref="AR21:AR23"/>
    <mergeCell ref="AS21:AS23"/>
    <mergeCell ref="AT21:AT23"/>
    <mergeCell ref="AE24:AE26"/>
    <mergeCell ref="AB21:AB23"/>
    <mergeCell ref="AC21:AC23"/>
    <mergeCell ref="Q21:Q23"/>
    <mergeCell ref="R21:R23"/>
    <mergeCell ref="S21:S23"/>
    <mergeCell ref="T21:T23"/>
    <mergeCell ref="U21:U23"/>
    <mergeCell ref="V21:V23"/>
    <mergeCell ref="AB24:AB26"/>
    <mergeCell ref="AC24:AC26"/>
    <mergeCell ref="K24:K26"/>
    <mergeCell ref="L24:L26"/>
    <mergeCell ref="M24:M26"/>
    <mergeCell ref="N24:N26"/>
    <mergeCell ref="O24:O26"/>
    <mergeCell ref="P24:P26"/>
    <mergeCell ref="AD21:AD23"/>
    <mergeCell ref="K21:K23"/>
    <mergeCell ref="L21:L23"/>
    <mergeCell ref="M21:M23"/>
    <mergeCell ref="N21:N23"/>
    <mergeCell ref="O21:O23"/>
    <mergeCell ref="P21:P23"/>
    <mergeCell ref="Q24:Q26"/>
    <mergeCell ref="R24:R26"/>
    <mergeCell ref="S24:S26"/>
    <mergeCell ref="T24:T26"/>
    <mergeCell ref="U24:U26"/>
    <mergeCell ref="V24:V26"/>
    <mergeCell ref="AD24:AD26"/>
    <mergeCell ref="C27:E29"/>
    <mergeCell ref="F27:F29"/>
    <mergeCell ref="G27:G29"/>
    <mergeCell ref="H27:H29"/>
    <mergeCell ref="I27:I29"/>
    <mergeCell ref="J27:J29"/>
    <mergeCell ref="BD24:BD26"/>
    <mergeCell ref="BE24:BE26"/>
    <mergeCell ref="BF24:BF26"/>
    <mergeCell ref="AU24:AU26"/>
    <mergeCell ref="AV24:AV26"/>
    <mergeCell ref="AW24:AW26"/>
    <mergeCell ref="AX24:AX26"/>
    <mergeCell ref="AY24:AY26"/>
    <mergeCell ref="AZ24:AZ26"/>
    <mergeCell ref="BA24:BA26"/>
    <mergeCell ref="AF24:AF26"/>
    <mergeCell ref="AG24:AG26"/>
    <mergeCell ref="AH24:AH26"/>
    <mergeCell ref="W24:W26"/>
    <mergeCell ref="X24:X26"/>
    <mergeCell ref="Y24:Y26"/>
    <mergeCell ref="Z24:Z26"/>
    <mergeCell ref="AA24:AA26"/>
    <mergeCell ref="AI24:AI26"/>
    <mergeCell ref="AJ24:AJ26"/>
    <mergeCell ref="AK24:AK26"/>
    <mergeCell ref="AL24:AL26"/>
    <mergeCell ref="AM24:AM26"/>
    <mergeCell ref="AN24:AN26"/>
    <mergeCell ref="BB24:BB26"/>
    <mergeCell ref="BC24:BC26"/>
    <mergeCell ref="AO24:AO26"/>
    <mergeCell ref="AP24:AP26"/>
    <mergeCell ref="AQ24:AQ26"/>
    <mergeCell ref="AR24:AR26"/>
    <mergeCell ref="AS24:AS26"/>
    <mergeCell ref="AT24:AT26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BA27:BA29"/>
    <mergeCell ref="BB27:BB29"/>
    <mergeCell ref="BC27:BC29"/>
    <mergeCell ref="BD27:BD29"/>
    <mergeCell ref="BE27:BE29"/>
    <mergeCell ref="BF27:BF29"/>
    <mergeCell ref="AI27:AI29"/>
    <mergeCell ref="AJ27:AJ29"/>
    <mergeCell ref="AK27:AK29"/>
    <mergeCell ref="AL27:AL29"/>
    <mergeCell ref="AM27:AM29"/>
    <mergeCell ref="AN27:AN29"/>
    <mergeCell ref="AO27:AO29"/>
    <mergeCell ref="AP27:AP29"/>
    <mergeCell ref="AQ27:AQ29"/>
    <mergeCell ref="AR27:AR29"/>
    <mergeCell ref="AS27:AS29"/>
    <mergeCell ref="AT27:AT29"/>
    <mergeCell ref="M31:M32"/>
    <mergeCell ref="N31:N32"/>
    <mergeCell ref="O31:O32"/>
    <mergeCell ref="AU27:AU29"/>
    <mergeCell ref="AV27:AV29"/>
    <mergeCell ref="AW27:AW29"/>
    <mergeCell ref="AX27:AX29"/>
    <mergeCell ref="AY27:AY29"/>
    <mergeCell ref="AZ27:AZ29"/>
    <mergeCell ref="W27:W29"/>
    <mergeCell ref="X27:X29"/>
    <mergeCell ref="Y27:Y29"/>
    <mergeCell ref="Z27:Z29"/>
    <mergeCell ref="AA27:AA29"/>
    <mergeCell ref="AB27:AB29"/>
    <mergeCell ref="AC27:AC29"/>
    <mergeCell ref="AD27:AD29"/>
    <mergeCell ref="AE27:AE29"/>
    <mergeCell ref="AF27:AF29"/>
    <mergeCell ref="AG27:AG29"/>
    <mergeCell ref="AH27:AH29"/>
    <mergeCell ref="T27:T29"/>
    <mergeCell ref="U27:U29"/>
    <mergeCell ref="V27:V29"/>
    <mergeCell ref="C30:E30"/>
    <mergeCell ref="C31:E32"/>
    <mergeCell ref="F31:F32"/>
    <mergeCell ref="G31:G32"/>
    <mergeCell ref="H31:H32"/>
    <mergeCell ref="I31:I32"/>
    <mergeCell ref="J31:J32"/>
    <mergeCell ref="K31:K32"/>
    <mergeCell ref="L31:L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W31:AW32"/>
    <mergeCell ref="AX31:AX32"/>
    <mergeCell ref="AY31:AY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K34:K35"/>
    <mergeCell ref="L34:L35"/>
    <mergeCell ref="M34:M35"/>
    <mergeCell ref="N34:N35"/>
    <mergeCell ref="O34:O35"/>
    <mergeCell ref="P34:P35"/>
    <mergeCell ref="Q34:Q35"/>
    <mergeCell ref="R34:R35"/>
    <mergeCell ref="AV31:AV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P31:P32"/>
    <mergeCell ref="Q31:Q32"/>
    <mergeCell ref="R31:R32"/>
    <mergeCell ref="BF34:BF35"/>
    <mergeCell ref="C36:E36"/>
    <mergeCell ref="C37:E37"/>
    <mergeCell ref="AW34:AW35"/>
    <mergeCell ref="AX34:AX35"/>
    <mergeCell ref="AY34:AY35"/>
    <mergeCell ref="AZ34:AZ35"/>
    <mergeCell ref="BA34:BA35"/>
    <mergeCell ref="AZ31:AZ32"/>
    <mergeCell ref="BA31:BA32"/>
    <mergeCell ref="BB31:BB32"/>
    <mergeCell ref="BC31:BC32"/>
    <mergeCell ref="BD31:BD32"/>
    <mergeCell ref="BE31:BE32"/>
    <mergeCell ref="BF31:BF32"/>
    <mergeCell ref="C33:E33"/>
    <mergeCell ref="C34:E35"/>
    <mergeCell ref="F34:F35"/>
    <mergeCell ref="G34:G35"/>
    <mergeCell ref="H34:H35"/>
    <mergeCell ref="I34:I35"/>
    <mergeCell ref="J34:J35"/>
    <mergeCell ref="BD34:BD35"/>
    <mergeCell ref="BE34:BE35"/>
    <mergeCell ref="AH34:AH35"/>
    <mergeCell ref="AI34:AI35"/>
    <mergeCell ref="AJ34:AJ35"/>
    <mergeCell ref="AE34:AE35"/>
    <mergeCell ref="AF34:AF35"/>
    <mergeCell ref="AG34:AG35"/>
    <mergeCell ref="C38:E39"/>
    <mergeCell ref="F38:F39"/>
    <mergeCell ref="G38:G39"/>
    <mergeCell ref="H38:H39"/>
    <mergeCell ref="I38:I39"/>
    <mergeCell ref="J38:J39"/>
    <mergeCell ref="Y34:Y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M38:M39"/>
    <mergeCell ref="N38:N39"/>
    <mergeCell ref="O38:O39"/>
    <mergeCell ref="AK34:AK35"/>
    <mergeCell ref="AL34:AL35"/>
    <mergeCell ref="AM34:AM35"/>
    <mergeCell ref="AN34:AN35"/>
    <mergeCell ref="AO34:AO35"/>
    <mergeCell ref="AP34:AP35"/>
    <mergeCell ref="BB34:BB35"/>
    <mergeCell ref="AQ34:AQ35"/>
    <mergeCell ref="AR34:AR35"/>
    <mergeCell ref="BC34:BC35"/>
    <mergeCell ref="AS34:AS35"/>
    <mergeCell ref="AT34:AT35"/>
    <mergeCell ref="AU34:AU35"/>
    <mergeCell ref="AV34:AV35"/>
    <mergeCell ref="X34:X35"/>
    <mergeCell ref="Q38:Q39"/>
    <mergeCell ref="R38:R39"/>
    <mergeCell ref="S38:S39"/>
    <mergeCell ref="T38:T39"/>
    <mergeCell ref="U38:U39"/>
    <mergeCell ref="V38:V39"/>
    <mergeCell ref="Z34:Z35"/>
    <mergeCell ref="AA34:AA35"/>
    <mergeCell ref="AI38:AI39"/>
    <mergeCell ref="AJ38:AJ39"/>
    <mergeCell ref="AK38:AK39"/>
    <mergeCell ref="AL38:AL39"/>
    <mergeCell ref="AM38:AM39"/>
    <mergeCell ref="AN38:AN39"/>
    <mergeCell ref="BB38:BB39"/>
    <mergeCell ref="BC38:BC39"/>
    <mergeCell ref="AO38:AO39"/>
    <mergeCell ref="AP38:AP39"/>
    <mergeCell ref="C40:E42"/>
    <mergeCell ref="F40:F42"/>
    <mergeCell ref="G40:G42"/>
    <mergeCell ref="H40:H42"/>
    <mergeCell ref="I40:I42"/>
    <mergeCell ref="J40:J42"/>
    <mergeCell ref="BD38:BD39"/>
    <mergeCell ref="BE38:BE39"/>
    <mergeCell ref="BF38:BF39"/>
    <mergeCell ref="AU38:AU39"/>
    <mergeCell ref="AV38:AV39"/>
    <mergeCell ref="AW38:AW39"/>
    <mergeCell ref="AX38:AX39"/>
    <mergeCell ref="AY38:AY39"/>
    <mergeCell ref="AZ38:AZ39"/>
    <mergeCell ref="BA38:BA39"/>
    <mergeCell ref="AF38:AF39"/>
    <mergeCell ref="AG38:AG39"/>
    <mergeCell ref="AH38:AH39"/>
    <mergeCell ref="W38:W39"/>
    <mergeCell ref="X38:X39"/>
    <mergeCell ref="Y38:Y39"/>
    <mergeCell ref="Z38:Z39"/>
    <mergeCell ref="AA38:AA39"/>
    <mergeCell ref="K40:K42"/>
    <mergeCell ref="L40:L42"/>
    <mergeCell ref="M40:M42"/>
    <mergeCell ref="N40:N42"/>
    <mergeCell ref="O40:O42"/>
    <mergeCell ref="P40:P42"/>
    <mergeCell ref="AD38:AD39"/>
    <mergeCell ref="AE38:AE39"/>
    <mergeCell ref="Q40:Q42"/>
    <mergeCell ref="R40:R42"/>
    <mergeCell ref="S40:S42"/>
    <mergeCell ref="T40:T42"/>
    <mergeCell ref="U40:U42"/>
    <mergeCell ref="V40:V42"/>
    <mergeCell ref="AC40:AC42"/>
    <mergeCell ref="AD40:AD42"/>
    <mergeCell ref="AB38:AB39"/>
    <mergeCell ref="AC38:AC39"/>
    <mergeCell ref="K38:K39"/>
    <mergeCell ref="L38:L39"/>
    <mergeCell ref="BC40:BC42"/>
    <mergeCell ref="P38:P39"/>
    <mergeCell ref="AE40:AE42"/>
    <mergeCell ref="AF40:AF42"/>
    <mergeCell ref="AG40:AG42"/>
    <mergeCell ref="AH40:AH42"/>
    <mergeCell ref="W40:W42"/>
    <mergeCell ref="X40:X42"/>
    <mergeCell ref="Y40:Y42"/>
    <mergeCell ref="Z40:Z42"/>
    <mergeCell ref="AA40:AA42"/>
    <mergeCell ref="AB40:AB42"/>
    <mergeCell ref="AQ38:AQ39"/>
    <mergeCell ref="AR38:AR39"/>
    <mergeCell ref="AS38:AS39"/>
    <mergeCell ref="AT38:AT39"/>
    <mergeCell ref="C64:G64"/>
    <mergeCell ref="BD40:BD42"/>
    <mergeCell ref="BE40:BE42"/>
    <mergeCell ref="BF40:BF42"/>
    <mergeCell ref="AI40:AI42"/>
    <mergeCell ref="AJ40:AJ42"/>
    <mergeCell ref="AK40:AK42"/>
    <mergeCell ref="AL40:AL42"/>
    <mergeCell ref="AM40:AM42"/>
    <mergeCell ref="AN40:AN42"/>
    <mergeCell ref="AO40:AO42"/>
    <mergeCell ref="AP40:AP42"/>
    <mergeCell ref="AQ40:AQ42"/>
    <mergeCell ref="AR40:AR42"/>
    <mergeCell ref="AS40:AS42"/>
    <mergeCell ref="AT40:AT42"/>
    <mergeCell ref="AU40:AU42"/>
    <mergeCell ref="AV40:AV42"/>
    <mergeCell ref="AW40:AW42"/>
    <mergeCell ref="AX40:AX42"/>
    <mergeCell ref="AY40:AY42"/>
    <mergeCell ref="AZ40:AZ42"/>
    <mergeCell ref="BA40:BA42"/>
    <mergeCell ref="BB40:BB42"/>
    <mergeCell ref="H64:I64"/>
    <mergeCell ref="C65:G65"/>
    <mergeCell ref="H65:I65"/>
    <mergeCell ref="C51:E51"/>
    <mergeCell ref="C52:E52"/>
    <mergeCell ref="C54:I54"/>
    <mergeCell ref="C55:G55"/>
    <mergeCell ref="H55:I55"/>
    <mergeCell ref="C56:G56"/>
    <mergeCell ref="H56:I56"/>
    <mergeCell ref="C57:G57"/>
    <mergeCell ref="H57:I57"/>
    <mergeCell ref="C58:G58"/>
    <mergeCell ref="H58:I58"/>
    <mergeCell ref="C59:G59"/>
    <mergeCell ref="H59:I59"/>
    <mergeCell ref="C60:G60"/>
    <mergeCell ref="H60:I60"/>
    <mergeCell ref="C61:G61"/>
    <mergeCell ref="H61:I61"/>
    <mergeCell ref="C62:G62"/>
    <mergeCell ref="H62:I62"/>
    <mergeCell ref="C63:G63"/>
    <mergeCell ref="H63:I6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11" sqref="D11"/>
    </sheetView>
  </sheetViews>
  <sheetFormatPr defaultRowHeight="15" x14ac:dyDescent="0.25"/>
  <cols>
    <col min="2" max="2" width="37.28515625" customWidth="1"/>
    <col min="3" max="3" width="21.5703125" customWidth="1"/>
    <col min="4" max="4" width="22.42578125" customWidth="1"/>
    <col min="5" max="5" width="24.140625" customWidth="1"/>
  </cols>
  <sheetData>
    <row r="1" spans="1:7" x14ac:dyDescent="0.25">
      <c r="C1" s="73" t="s">
        <v>392</v>
      </c>
      <c r="D1" s="73" t="s">
        <v>391</v>
      </c>
      <c r="E1" s="73" t="s">
        <v>390</v>
      </c>
    </row>
    <row r="2" spans="1:7" x14ac:dyDescent="0.25">
      <c r="A2">
        <v>1</v>
      </c>
      <c r="B2" t="s">
        <v>141</v>
      </c>
      <c r="C2" s="82">
        <v>0.25</v>
      </c>
      <c r="D2">
        <f>'Калькулятор новий'!B48/12</f>
        <v>5</v>
      </c>
      <c r="E2" s="132">
        <v>0.03</v>
      </c>
      <c r="F2">
        <v>0</v>
      </c>
      <c r="G2">
        <v>3</v>
      </c>
    </row>
    <row r="3" spans="1:7" x14ac:dyDescent="0.25">
      <c r="A3">
        <v>2</v>
      </c>
      <c r="B3" t="s">
        <v>389</v>
      </c>
      <c r="C3" s="82">
        <v>0.25</v>
      </c>
      <c r="D3">
        <f>'Калькулятор новий'!B48/12</f>
        <v>5</v>
      </c>
      <c r="E3" s="82">
        <v>0.01</v>
      </c>
      <c r="F3">
        <v>0</v>
      </c>
    </row>
    <row r="4" spans="1:7" x14ac:dyDescent="0.25">
      <c r="A4">
        <v>3</v>
      </c>
      <c r="B4" t="s">
        <v>615</v>
      </c>
      <c r="C4" s="273">
        <v>0.22800000000000001</v>
      </c>
      <c r="D4">
        <f>'Калькулятор новий'!B48/12</f>
        <v>5</v>
      </c>
      <c r="F4">
        <v>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33</vt:i4>
      </vt:variant>
    </vt:vector>
  </HeadingPairs>
  <TitlesOfParts>
    <vt:vector size="46" baseType="lpstr">
      <vt:lpstr>Калькулятор новий</vt:lpstr>
      <vt:lpstr>ОСББ</vt:lpstr>
      <vt:lpstr>Вхідні дані</vt:lpstr>
      <vt:lpstr>Фінансовий потік</vt:lpstr>
      <vt:lpstr>Розрахунки</vt:lpstr>
      <vt:lpstr>Регіони</vt:lpstr>
      <vt:lpstr>Тарифи</vt:lpstr>
      <vt:lpstr>Фінансовий потік Х</vt:lpstr>
      <vt:lpstr>Умови кредитування</vt:lpstr>
      <vt:lpstr>Порівняння платежів</vt:lpstr>
      <vt:lpstr>Порівняння щомісячних платежів </vt:lpstr>
      <vt:lpstr>Тарифи ЦО</vt:lpstr>
      <vt:lpstr>Перелік областей</vt:lpstr>
      <vt:lpstr>Банки</vt:lpstr>
      <vt:lpstr>Вінницька</vt:lpstr>
      <vt:lpstr>Волинська</vt:lpstr>
      <vt:lpstr>Дніпропетровська</vt:lpstr>
      <vt:lpstr>Донецька</vt:lpstr>
      <vt:lpstr>ОСББ!Дореволюционные</vt:lpstr>
      <vt:lpstr>Житомирська</vt:lpstr>
      <vt:lpstr>Запорізька</vt:lpstr>
      <vt:lpstr>Заходи_з_енергозбереження</vt:lpstr>
      <vt:lpstr>Івано_Франківська</vt:lpstr>
      <vt:lpstr>Київ</vt:lpstr>
      <vt:lpstr>Київська</vt:lpstr>
      <vt:lpstr>Кількість_поверхів</vt:lpstr>
      <vt:lpstr>Кіровоградська</vt:lpstr>
      <vt:lpstr>Компанії</vt:lpstr>
      <vt:lpstr>Луганська</vt:lpstr>
      <vt:lpstr>Львівська</vt:lpstr>
      <vt:lpstr>Миколаївська</vt:lpstr>
      <vt:lpstr>Області</vt:lpstr>
      <vt:lpstr>Одеська</vt:lpstr>
      <vt:lpstr>Полтавська</vt:lpstr>
      <vt:lpstr>Регіони</vt:lpstr>
      <vt:lpstr>Рівненська</vt:lpstr>
      <vt:lpstr>Сумська</vt:lpstr>
      <vt:lpstr>Тернопільська</vt:lpstr>
      <vt:lpstr>Тип_будинку</vt:lpstr>
      <vt:lpstr>Тип_фінансування</vt:lpstr>
      <vt:lpstr>Харківська</vt:lpstr>
      <vt:lpstr>Херсонська</vt:lpstr>
      <vt:lpstr>Хмельницька</vt:lpstr>
      <vt:lpstr>Черкаська</vt:lpstr>
      <vt:lpstr>Чернівецька</vt:lpstr>
      <vt:lpstr>Чернігівська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Семіног</cp:lastModifiedBy>
  <dcterms:created xsi:type="dcterms:W3CDTF">2015-05-15T19:15:33Z</dcterms:created>
  <dcterms:modified xsi:type="dcterms:W3CDTF">2015-10-22T12:23:34Z</dcterms:modified>
</cp:coreProperties>
</file>